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DieseArbeitsmappe" autoCompressPictures="0" defaultThemeVersion="124226"/>
  <mc:AlternateContent xmlns:mc="http://schemas.openxmlformats.org/markup-compatibility/2006">
    <mc:Choice Requires="x15">
      <x15ac:absPath xmlns:x15ac="http://schemas.microsoft.com/office/spreadsheetml/2010/11/ac" url="C:\Users\kraejona\Desktop\"/>
    </mc:Choice>
  </mc:AlternateContent>
  <xr:revisionPtr revIDLastSave="0" documentId="13_ncr:1_{A655DEB9-01D8-48C4-92D6-64177F41C7A1}" xr6:coauthVersionLast="47" xr6:coauthVersionMax="47" xr10:uidLastSave="{00000000-0000-0000-0000-000000000000}"/>
  <bookViews>
    <workbookView xWindow="-120" yWindow="-120" windowWidth="29040" windowHeight="15840" tabRatio="701" xr2:uid="{00000000-000D-0000-FFFF-FFFF00000000}"/>
  </bookViews>
  <sheets>
    <sheet name="Hinweis" sheetId="4" r:id="rId1"/>
    <sheet name="Mindestbewehrung" sheetId="7" r:id="rId2"/>
    <sheet name="Rissbreitenbewehrung" sheetId="12" r:id="rId3"/>
    <sheet name="Biegetragfähigkeit" sheetId="10" r:id="rId4"/>
    <sheet name="Querkrafttragfähigkeit" sheetId="3" r:id="rId5"/>
    <sheet name="Verankerungslänge Gerade Stäbe" sheetId="8" r:id="rId6"/>
    <sheet name="Verankerungslänge GebogeneStäbe" sheetId="9" r:id="rId7"/>
    <sheet name="Anzahl Klipps" sheetId="5" r:id="rId8"/>
    <sheet name="Anzahl Abstandshalter" sheetId="6" r:id="rId9"/>
  </sheets>
  <externalReferences>
    <externalReference r:id="rId10"/>
  </externalReferences>
  <definedNames>
    <definedName name="_xlnm.Print_Area" localSheetId="8">'Anzahl Abstandshalter'!$A$1:$L$37</definedName>
    <definedName name="_xlnm.Print_Area" localSheetId="7">'Anzahl Klipps'!$A$1:$L$37</definedName>
    <definedName name="_xlnm.Print_Area" localSheetId="3">Biegetragfähigkeit!$A$1:$L$32</definedName>
    <definedName name="_xlnm.Print_Area" localSheetId="0">Hinweis!$A$1:$L$35</definedName>
    <definedName name="_xlnm.Print_Area" localSheetId="1">Mindestbewehrung!$A$1:$L$30</definedName>
    <definedName name="_xlnm.Print_Area" localSheetId="4">Querkrafttragfähigkeit!$A$1:$L$77</definedName>
    <definedName name="_xlnm.Print_Area" localSheetId="2">Rissbreitenbewehrung!$A$1:$L$32</definedName>
    <definedName name="_xlnm.Print_Area" localSheetId="6">'Verankerungslänge GebogeneStäbe'!$A$1:$L$52</definedName>
    <definedName name="_xlnm.Print_Area" localSheetId="5">'Verankerungslänge Gerade Stäbe'!$A$1:$L$52</definedName>
    <definedName name="Knochen">[1]Eingabe!$K$97:$M$100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2" i="3" l="1"/>
  <c r="D21" i="12"/>
  <c r="D22" i="12"/>
  <c r="F75" i="3"/>
  <c r="I22" i="3"/>
  <c r="Z21" i="3"/>
  <c r="Z20" i="3"/>
  <c r="Z19" i="3"/>
  <c r="Z18" i="3"/>
  <c r="Z17" i="3"/>
  <c r="K26" i="3"/>
  <c r="H31" i="10"/>
  <c r="V26" i="10"/>
  <c r="V25" i="10"/>
  <c r="V24" i="10"/>
  <c r="D24" i="10"/>
  <c r="D26" i="10" s="1"/>
  <c r="D27" i="10" s="1"/>
  <c r="V23" i="10"/>
  <c r="D23" i="10"/>
  <c r="V22" i="10"/>
  <c r="V21" i="10"/>
  <c r="V20" i="10"/>
  <c r="V19" i="10"/>
  <c r="D40" i="10" l="1"/>
  <c r="B36" i="10" a="1"/>
  <c r="B36" i="10" s="1"/>
  <c r="D36" i="10" l="1"/>
  <c r="E36" i="10" s="1"/>
  <c r="C36" i="10"/>
  <c r="B38" i="10" s="1"/>
  <c r="F38" i="10" l="1"/>
  <c r="F36" i="10"/>
  <c r="D28" i="10" l="1"/>
  <c r="D31" i="10" s="1"/>
  <c r="J31" i="10" l="1"/>
  <c r="D19" i="7" l="1"/>
  <c r="D20" i="7" s="1"/>
  <c r="E17" i="8"/>
  <c r="E28" i="8" s="1"/>
  <c r="J29" i="9"/>
  <c r="E29" i="9"/>
  <c r="J34" i="9"/>
  <c r="E21" i="9"/>
  <c r="J35" i="9" s="1"/>
  <c r="E17" i="9"/>
  <c r="E18" i="9"/>
  <c r="J28" i="9"/>
  <c r="J30" i="9" s="1"/>
  <c r="J27" i="9"/>
  <c r="J31" i="9" s="1"/>
  <c r="I29" i="8"/>
  <c r="E49" i="8"/>
  <c r="E21" i="8"/>
  <c r="E42" i="8"/>
  <c r="E18" i="8"/>
  <c r="E43" i="8"/>
  <c r="E50" i="8" s="1"/>
  <c r="E44" i="8"/>
  <c r="E45" i="8"/>
  <c r="E47" i="8" s="1"/>
  <c r="E51" i="8" s="1"/>
  <c r="E27" i="8"/>
  <c r="E46" i="8" s="1"/>
  <c r="E34" i="8"/>
  <c r="H19" i="8"/>
  <c r="E29" i="8"/>
  <c r="I34" i="8"/>
  <c r="J19" i="8"/>
  <c r="J17" i="8"/>
  <c r="I28" i="8" s="1"/>
  <c r="E32" i="6"/>
  <c r="E36" i="6" s="1"/>
  <c r="E30" i="6"/>
  <c r="E34" i="6" s="1"/>
  <c r="D22" i="5"/>
  <c r="X38" i="9"/>
  <c r="X37" i="9"/>
  <c r="E34" i="9"/>
  <c r="E28" i="9"/>
  <c r="E31" i="9" s="1"/>
  <c r="E32" i="9" s="1"/>
  <c r="E36" i="9" s="1"/>
  <c r="E30" i="9"/>
  <c r="E27" i="9"/>
  <c r="X36" i="9"/>
  <c r="X35" i="9"/>
  <c r="X34" i="9"/>
  <c r="X33" i="9"/>
  <c r="X32" i="9"/>
  <c r="X31" i="9"/>
  <c r="X38" i="8"/>
  <c r="X37" i="8"/>
  <c r="X36" i="8"/>
  <c r="X35" i="8"/>
  <c r="X34" i="8"/>
  <c r="X33" i="8"/>
  <c r="X32" i="8"/>
  <c r="X31" i="8"/>
  <c r="I27" i="8"/>
  <c r="I16" i="3"/>
  <c r="I18" i="3" s="1"/>
  <c r="K30" i="3"/>
  <c r="K13" i="3"/>
  <c r="I13" i="3"/>
  <c r="S30" i="3"/>
  <c r="S29" i="3"/>
  <c r="I28" i="3" s="1"/>
  <c r="I30" i="3" s="1"/>
  <c r="S27" i="3"/>
  <c r="S26" i="3"/>
  <c r="S22" i="3"/>
  <c r="S21" i="3"/>
  <c r="S20" i="3"/>
  <c r="I15" i="3" s="1"/>
  <c r="W19" i="3"/>
  <c r="I26" i="3" s="1"/>
  <c r="S19" i="3"/>
  <c r="W18" i="3"/>
  <c r="S18" i="3"/>
  <c r="W17" i="3"/>
  <c r="S17" i="3"/>
  <c r="D27" i="7"/>
  <c r="V25" i="7"/>
  <c r="D25" i="7"/>
  <c r="V24" i="7"/>
  <c r="V23" i="7"/>
  <c r="D23" i="7"/>
  <c r="V22" i="7"/>
  <c r="V21" i="7"/>
  <c r="V20" i="7"/>
  <c r="V19" i="7"/>
  <c r="V18" i="7"/>
  <c r="E65" i="3" l="1"/>
  <c r="C65" i="3" s="1"/>
  <c r="C66" i="3" s="1"/>
  <c r="C67" i="3" s="1"/>
  <c r="F73" i="3" s="1"/>
  <c r="I17" i="3"/>
  <c r="C40" i="3"/>
  <c r="D26" i="7"/>
  <c r="D30" i="7" s="1"/>
  <c r="J32" i="9"/>
  <c r="J36" i="9" s="1"/>
  <c r="E52" i="8"/>
  <c r="E30" i="8"/>
  <c r="E35" i="8"/>
  <c r="J37" i="9"/>
  <c r="I35" i="8"/>
  <c r="I30" i="8"/>
  <c r="I32" i="8" s="1"/>
  <c r="I36" i="8" s="1"/>
  <c r="I31" i="8"/>
  <c r="I24" i="3"/>
  <c r="I29" i="3"/>
  <c r="C58" i="3"/>
  <c r="E35" i="9"/>
  <c r="E37" i="9" s="1"/>
  <c r="E31" i="8"/>
  <c r="E32" i="8" s="1"/>
  <c r="C42" i="3" l="1"/>
  <c r="G42" i="3" s="1"/>
  <c r="E59" i="3"/>
  <c r="C59" i="3" s="1"/>
  <c r="E61" i="3" s="1"/>
  <c r="O39" i="3"/>
  <c r="I47" i="8"/>
  <c r="E36" i="8"/>
  <c r="E37" i="8"/>
  <c r="I52" i="8" s="1"/>
  <c r="I37" i="8"/>
  <c r="Q39" i="3" l="1"/>
  <c r="C61" i="3"/>
  <c r="C69" i="3" s="1"/>
  <c r="E63" i="3"/>
  <c r="C63" i="3" s="1"/>
  <c r="C71" i="3" s="1"/>
  <c r="C73" i="3" l="1"/>
  <c r="C75" i="3" s="1"/>
  <c r="G75"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Jütte, Benjamin</author>
    <author>Windows-Benutzer</author>
  </authors>
  <commentList>
    <comment ref="D15" authorId="0" shapeId="0" xr:uid="{00000000-0006-0000-0200-000001000000}">
      <text>
        <r>
          <rPr>
            <b/>
            <sz val="9"/>
            <color indexed="81"/>
            <rFont val="Tahoma"/>
            <family val="2"/>
          </rPr>
          <t>Anzahl Stäbe der Biegezugbewehrung</t>
        </r>
      </text>
    </comment>
    <comment ref="E16" authorId="0" shapeId="0" xr:uid="{00000000-0006-0000-0200-000002000000}">
      <text>
        <r>
          <rPr>
            <b/>
            <sz val="9"/>
            <color indexed="81"/>
            <rFont val="Tahoma"/>
            <family val="2"/>
          </rPr>
          <t xml:space="preserve">Mittelwert E-Modul:
Gerade Stäbe: 60000
Gebogene Stäbe: 50000
</t>
        </r>
      </text>
    </comment>
    <comment ref="D22" authorId="1" shapeId="0" xr:uid="{00000000-0006-0000-0200-000003000000}">
      <text>
        <r>
          <rPr>
            <b/>
            <sz val="9"/>
            <color indexed="81"/>
            <rFont val="Tahoma"/>
            <family val="2"/>
          </rPr>
          <t>Anzahl der Schenkel pro Schnitt</t>
        </r>
      </text>
    </comment>
    <comment ref="E24" authorId="0" shapeId="0" xr:uid="{00000000-0006-0000-0200-000004000000}">
      <text>
        <r>
          <rPr>
            <b/>
            <sz val="9"/>
            <color indexed="81"/>
            <rFont val="Tahoma"/>
            <family val="2"/>
          </rPr>
          <t>Mittelwert
des E-Moduls</t>
        </r>
      </text>
    </comment>
    <comment ref="E25" authorId="0" shapeId="0" xr:uid="{9E51B1BF-491D-49E1-97B5-6044DF690E29}">
      <text>
        <r>
          <rPr>
            <b/>
            <sz val="9"/>
            <color indexed="81"/>
            <rFont val="Tahoma"/>
            <family val="2"/>
          </rPr>
          <t>Mittelwert
des E-Moduls</t>
        </r>
      </text>
    </comment>
    <comment ref="D28" authorId="1" shapeId="0" xr:uid="{00000000-0006-0000-0200-000005000000}">
      <text>
        <r>
          <rPr>
            <b/>
            <sz val="9"/>
            <color indexed="81"/>
            <rFont val="Tahoma"/>
            <family val="2"/>
          </rPr>
          <t>Anzahl der DKB pro Schnitt. Wenn Bügel aus NR BSt, dann kein Ansatz von DKB!</t>
        </r>
      </text>
    </comment>
    <comment ref="E29" authorId="0" shapeId="0" xr:uid="{00000000-0006-0000-0200-000006000000}">
      <text>
        <r>
          <rPr>
            <b/>
            <sz val="9"/>
            <color indexed="81"/>
            <rFont val="Tahoma"/>
            <family val="2"/>
          </rPr>
          <t>Mittelwert
des E-Moduls</t>
        </r>
      </text>
    </comment>
    <comment ref="W30" authorId="0" shapeId="0" xr:uid="{00000000-0006-0000-0200-000007000000}">
      <text>
        <r>
          <rPr>
            <b/>
            <sz val="9"/>
            <color indexed="81"/>
            <rFont val="Tahoma"/>
            <family val="2"/>
          </rPr>
          <t>bei gleicher Dehnung wie BSt 500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kolbpete</author>
    <author>Ibach, Karlheinz</author>
  </authors>
  <commentList>
    <comment ref="E21" authorId="0" shapeId="0" xr:uid="{00000000-0006-0000-0300-000001000000}">
      <text>
        <r>
          <rPr>
            <sz val="8"/>
            <color indexed="81"/>
            <rFont val="Tahoma"/>
            <family val="2"/>
          </rPr>
          <t>Zugstoß bei &gt;30%:
1,40 bei ds &lt; 16 mm
2,00 bei ds &gt;= 16 mm</t>
        </r>
      </text>
    </comment>
    <comment ref="S21" authorId="1" shapeId="0" xr:uid="{00000000-0006-0000-0300-000002000000}">
      <text>
        <r>
          <rPr>
            <sz val="9"/>
            <color indexed="81"/>
            <rFont val="Tahoma"/>
            <family val="2"/>
          </rPr>
          <t>empfohlener Wert</t>
        </r>
      </text>
    </comment>
    <comment ref="S22" authorId="1" shapeId="0" xr:uid="{00000000-0006-0000-0300-000003000000}">
      <text>
        <r>
          <rPr>
            <sz val="9"/>
            <color indexed="81"/>
            <rFont val="Tahoma"/>
            <family val="2"/>
          </rPr>
          <t>empfohlener Wert</t>
        </r>
      </text>
    </comment>
    <comment ref="S23" authorId="1" shapeId="0" xr:uid="{00000000-0006-0000-0300-000004000000}">
      <text>
        <r>
          <rPr>
            <sz val="9"/>
            <color indexed="81"/>
            <rFont val="Tahoma"/>
            <family val="2"/>
          </rPr>
          <t>empfohlener Wert</t>
        </r>
      </text>
    </comment>
    <comment ref="E25" authorId="1" shapeId="0" xr:uid="{00000000-0006-0000-0300-000005000000}">
      <text>
        <r>
          <rPr>
            <sz val="9"/>
            <color indexed="81"/>
            <rFont val="Tahoma"/>
            <family val="2"/>
          </rPr>
          <t xml:space="preserve">vorhandene Spannung eingeben
</t>
        </r>
      </text>
    </comment>
    <comment ref="E28" authorId="0" shapeId="0" xr:uid="{00000000-0006-0000-0300-000006000000}">
      <text>
        <r>
          <rPr>
            <sz val="8"/>
            <color indexed="81"/>
            <rFont val="Tahoma"/>
            <family val="2"/>
          </rPr>
          <t>lb = (d/4) x (fyd/fbd)</t>
        </r>
      </text>
    </comment>
    <comment ref="I28" authorId="0" shapeId="0" xr:uid="{00000000-0006-0000-0300-000007000000}">
      <text>
        <r>
          <rPr>
            <sz val="8"/>
            <color indexed="81"/>
            <rFont val="Tahoma"/>
            <family val="2"/>
          </rPr>
          <t>lb = (d/4) x (fyd/fbd)</t>
        </r>
      </text>
    </comment>
    <comment ref="E43" authorId="0" shapeId="0" xr:uid="{00000000-0006-0000-0300-000008000000}">
      <text>
        <r>
          <rPr>
            <sz val="8"/>
            <color indexed="81"/>
            <rFont val="Tahoma"/>
            <family val="2"/>
          </rPr>
          <t>lb = (d/4) x (fyd/fbd)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Ibach, Karlheinz</author>
    <author>kolbpete</author>
  </authors>
  <commentList>
    <comment ref="E20" authorId="0" shapeId="0" xr:uid="{00000000-0006-0000-0400-000001000000}">
      <text>
        <r>
          <rPr>
            <sz val="9"/>
            <color indexed="81"/>
            <rFont val="Tahoma"/>
            <family val="2"/>
          </rPr>
          <t xml:space="preserve">1,0 gerade
0,7 Haken
</t>
        </r>
      </text>
    </comment>
    <comment ref="E21" authorId="1" shapeId="0" xr:uid="{00000000-0006-0000-0400-000002000000}">
      <text>
        <r>
          <rPr>
            <sz val="8"/>
            <color indexed="81"/>
            <rFont val="Tahoma"/>
            <family val="2"/>
          </rPr>
          <t>Zugstoß bei &gt;30%:
1,40 bei ds &lt; 16 mm
2,00 bei ds &gt;= 16 mm</t>
        </r>
      </text>
    </comment>
    <comment ref="E25" authorId="0" shapeId="0" xr:uid="{00000000-0006-0000-0400-000003000000}">
      <text>
        <r>
          <rPr>
            <sz val="9"/>
            <color indexed="81"/>
            <rFont val="Tahoma"/>
            <family val="2"/>
          </rPr>
          <t xml:space="preserve">vorhandene Spannung eingeben
</t>
        </r>
      </text>
    </comment>
    <comment ref="E28" authorId="1" shapeId="0" xr:uid="{00000000-0006-0000-0400-000004000000}">
      <text>
        <r>
          <rPr>
            <sz val="8"/>
            <color indexed="81"/>
            <rFont val="Tahoma"/>
            <family val="2"/>
          </rPr>
          <t>lb = (d/4) x (fyd/fbd)</t>
        </r>
      </text>
    </comment>
    <comment ref="J28" authorId="1" shapeId="0" xr:uid="{87FCB8C2-FACF-4050-83A7-71AE7D6B4261}">
      <text>
        <r>
          <rPr>
            <sz val="8"/>
            <color indexed="81"/>
            <rFont val="Tahoma"/>
            <family val="2"/>
          </rPr>
          <t>lb = (d/4) x (fyd/fbd)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<sst xmlns="http://schemas.openxmlformats.org/spreadsheetml/2006/main" count="787" uniqueCount="351">
  <si>
    <t>ohne Querkraftbewehrung</t>
  </si>
  <si>
    <t>I.</t>
  </si>
  <si>
    <t>II.</t>
  </si>
  <si>
    <t>Eingabewerte</t>
  </si>
  <si>
    <t>Beton:</t>
  </si>
  <si>
    <t>C30/37</t>
  </si>
  <si>
    <t>Längsbewehrung:</t>
  </si>
  <si>
    <t>Æ</t>
  </si>
  <si>
    <t>Querkraftbewehrung:</t>
  </si>
  <si>
    <t>III.</t>
  </si>
  <si>
    <t>mit Querkraftbewehrung</t>
  </si>
  <si>
    <t>C20/25</t>
  </si>
  <si>
    <t>gerade Stäbe</t>
  </si>
  <si>
    <t>Bügel</t>
  </si>
  <si>
    <t>d =</t>
  </si>
  <si>
    <t>z =</t>
  </si>
  <si>
    <t>C25/30</t>
  </si>
  <si>
    <t>C35/45</t>
  </si>
  <si>
    <t>C40/50</t>
  </si>
  <si>
    <t>C45/55</t>
  </si>
  <si>
    <t>Beton</t>
  </si>
  <si>
    <t>C50/60</t>
  </si>
  <si>
    <t>b =</t>
  </si>
  <si>
    <t>k =</t>
  </si>
  <si>
    <r>
      <t xml:space="preserve">V </t>
    </r>
    <r>
      <rPr>
        <b/>
        <vertAlign val="subscript"/>
        <sz val="10"/>
        <rFont val="Arial"/>
        <family val="2"/>
      </rPr>
      <t>Rd,f</t>
    </r>
    <r>
      <rPr>
        <b/>
        <sz val="10"/>
        <rFont val="Arial"/>
        <family val="2"/>
      </rPr>
      <t xml:space="preserve"> =</t>
    </r>
  </si>
  <si>
    <t>Bauvorhaben</t>
  </si>
  <si>
    <t>Datum:</t>
  </si>
  <si>
    <t>Bauteil:</t>
  </si>
  <si>
    <t>Bauvorhaben:</t>
  </si>
  <si>
    <t>Kunde:</t>
  </si>
  <si>
    <t>Bügel:</t>
  </si>
  <si>
    <t>DKB:</t>
  </si>
  <si>
    <t>DKB</t>
  </si>
  <si>
    <t>C55/67</t>
  </si>
  <si>
    <t>C70/85</t>
  </si>
  <si>
    <t>C80/95</t>
  </si>
  <si>
    <t>C90/105</t>
  </si>
  <si>
    <t>C60/75</t>
  </si>
  <si>
    <t>Anzahl Schenkel pro Schnitt!</t>
  </si>
  <si>
    <t>Anzahl DKB pro Schnitt!</t>
  </si>
  <si>
    <r>
      <t xml:space="preserve">V </t>
    </r>
    <r>
      <rPr>
        <b/>
        <vertAlign val="subscript"/>
        <sz val="12"/>
        <rFont val="Arial"/>
        <family val="2"/>
      </rPr>
      <t>Rd</t>
    </r>
    <r>
      <rPr>
        <b/>
        <sz val="12"/>
        <rFont val="Arial"/>
        <family val="2"/>
      </rPr>
      <t xml:space="preserve"> =</t>
    </r>
  </si>
  <si>
    <r>
      <t>V</t>
    </r>
    <r>
      <rPr>
        <vertAlign val="subscript"/>
        <sz val="10"/>
        <rFont val="Arial"/>
        <family val="2"/>
      </rPr>
      <t>Rd,c</t>
    </r>
  </si>
  <si>
    <t>nach Gleichung Teil III. (Querkrafttragfähigkeit ohne Querkraftbewehrung)</t>
  </si>
  <si>
    <r>
      <rPr>
        <sz val="10"/>
        <rFont val="Symbol"/>
        <family val="1"/>
        <charset val="2"/>
      </rPr>
      <t>e</t>
    </r>
    <r>
      <rPr>
        <sz val="10"/>
        <rFont val="Arial"/>
        <family val="2"/>
      </rPr>
      <t xml:space="preserve"> </t>
    </r>
    <r>
      <rPr>
        <vertAlign val="subscript"/>
        <sz val="10"/>
        <rFont val="Arial"/>
        <family val="2"/>
      </rPr>
      <t>fd,w</t>
    </r>
  </si>
  <si>
    <t>Bemessungswert der maximalen Dehnung der Querkraftbewehrung</t>
  </si>
  <si>
    <r>
      <t xml:space="preserve">f </t>
    </r>
    <r>
      <rPr>
        <vertAlign val="subscript"/>
        <sz val="10"/>
        <rFont val="Arial"/>
        <family val="2"/>
      </rPr>
      <t>fd,w</t>
    </r>
  </si>
  <si>
    <t>EI*</t>
  </si>
  <si>
    <t>Vereinfachte Bauteilbiegesteifigkeit</t>
  </si>
  <si>
    <t>θ</t>
  </si>
  <si>
    <t>Druckstrebenwinkel</t>
  </si>
  <si>
    <r>
      <rPr>
        <sz val="10"/>
        <rFont val="Calibri"/>
        <family val="2"/>
      </rPr>
      <t>θ</t>
    </r>
    <r>
      <rPr>
        <sz val="10"/>
        <rFont val="Symbol"/>
        <family val="1"/>
        <charset val="2"/>
      </rPr>
      <t xml:space="preserve"> =</t>
    </r>
  </si>
  <si>
    <r>
      <t xml:space="preserve">cot </t>
    </r>
    <r>
      <rPr>
        <sz val="10"/>
        <rFont val="Calibri"/>
        <family val="2"/>
      </rPr>
      <t>θ</t>
    </r>
    <r>
      <rPr>
        <sz val="10"/>
        <rFont val="Symbol"/>
        <family val="1"/>
        <charset val="2"/>
      </rPr>
      <t xml:space="preserve"> =</t>
    </r>
  </si>
  <si>
    <r>
      <t xml:space="preserve">tan </t>
    </r>
    <r>
      <rPr>
        <sz val="10"/>
        <rFont val="Calibri"/>
        <family val="2"/>
      </rPr>
      <t>θ</t>
    </r>
    <r>
      <rPr>
        <sz val="10"/>
        <rFont val="Symbol"/>
        <family val="1"/>
        <charset val="2"/>
      </rPr>
      <t xml:space="preserve"> =</t>
    </r>
  </si>
  <si>
    <r>
      <t xml:space="preserve">f </t>
    </r>
    <r>
      <rPr>
        <vertAlign val="subscript"/>
        <sz val="10"/>
        <rFont val="Arial"/>
        <family val="2"/>
      </rPr>
      <t>cm</t>
    </r>
  </si>
  <si>
    <t>mittlere Zylinderdruckfestigkeit des Betons</t>
  </si>
  <si>
    <t>Afl - nur Biegezugbewehrung!</t>
  </si>
  <si>
    <r>
      <t xml:space="preserve">max. V </t>
    </r>
    <r>
      <rPr>
        <vertAlign val="subscript"/>
        <sz val="10"/>
        <rFont val="Arial"/>
        <family val="2"/>
      </rPr>
      <t>Rd,f</t>
    </r>
    <r>
      <rPr>
        <sz val="10"/>
        <rFont val="Arial"/>
        <family val="2"/>
      </rPr>
      <t xml:space="preserve"> =</t>
    </r>
  </si>
  <si>
    <t>£</t>
  </si>
  <si>
    <r>
      <t xml:space="preserve">E </t>
    </r>
    <r>
      <rPr>
        <vertAlign val="subscript"/>
        <sz val="10"/>
        <rFont val="Arial"/>
        <family val="2"/>
      </rPr>
      <t>fl</t>
    </r>
    <r>
      <rPr>
        <sz val="10"/>
        <rFont val="Arial"/>
        <family val="2"/>
      </rPr>
      <t>:</t>
    </r>
  </si>
  <si>
    <r>
      <t xml:space="preserve">f </t>
    </r>
    <r>
      <rPr>
        <vertAlign val="subscript"/>
        <sz val="10"/>
        <rFont val="Arial"/>
        <family val="2"/>
      </rPr>
      <t>ck</t>
    </r>
    <r>
      <rPr>
        <sz val="10"/>
        <rFont val="Arial"/>
        <family val="2"/>
      </rPr>
      <t xml:space="preserve"> =</t>
    </r>
  </si>
  <si>
    <r>
      <t xml:space="preserve">f </t>
    </r>
    <r>
      <rPr>
        <vertAlign val="subscript"/>
        <sz val="10"/>
        <rFont val="Arial"/>
        <family val="2"/>
      </rPr>
      <t>cm</t>
    </r>
    <r>
      <rPr>
        <sz val="10"/>
        <rFont val="Arial"/>
        <family val="2"/>
      </rPr>
      <t xml:space="preserve"> =</t>
    </r>
  </si>
  <si>
    <r>
      <t xml:space="preserve">E </t>
    </r>
    <r>
      <rPr>
        <vertAlign val="subscript"/>
        <sz val="10"/>
        <rFont val="Arial"/>
        <family val="2"/>
      </rPr>
      <t>fw</t>
    </r>
    <r>
      <rPr>
        <sz val="10"/>
        <rFont val="Arial"/>
        <family val="2"/>
      </rPr>
      <t>:</t>
    </r>
  </si>
  <si>
    <r>
      <t xml:space="preserve">r </t>
    </r>
    <r>
      <rPr>
        <vertAlign val="subscript"/>
        <sz val="10"/>
        <rFont val="Arial"/>
        <family val="2"/>
      </rPr>
      <t>l</t>
    </r>
    <r>
      <rPr>
        <sz val="10"/>
        <rFont val="Arial"/>
        <family val="2"/>
      </rPr>
      <t xml:space="preserve"> =</t>
    </r>
  </si>
  <si>
    <r>
      <t xml:space="preserve">A </t>
    </r>
    <r>
      <rPr>
        <vertAlign val="subscript"/>
        <sz val="10"/>
        <rFont val="Arial"/>
        <family val="2"/>
      </rPr>
      <t xml:space="preserve">fl </t>
    </r>
    <r>
      <rPr>
        <sz val="10"/>
        <rFont val="Arial"/>
        <family val="2"/>
      </rPr>
      <t>=</t>
    </r>
  </si>
  <si>
    <r>
      <t xml:space="preserve">A </t>
    </r>
    <r>
      <rPr>
        <vertAlign val="subscript"/>
        <sz val="10"/>
        <rFont val="Arial"/>
        <family val="2"/>
      </rPr>
      <t>fw</t>
    </r>
    <r>
      <rPr>
        <sz val="10"/>
        <rFont val="Arial"/>
        <family val="2"/>
      </rPr>
      <t xml:space="preserve"> (Bü) =</t>
    </r>
  </si>
  <si>
    <r>
      <t xml:space="preserve">r </t>
    </r>
    <r>
      <rPr>
        <vertAlign val="subscript"/>
        <sz val="10"/>
        <rFont val="Arial"/>
        <family val="2"/>
      </rPr>
      <t>w</t>
    </r>
    <r>
      <rPr>
        <sz val="10"/>
        <rFont val="Arial"/>
        <family val="2"/>
      </rPr>
      <t xml:space="preserve"> (Bü) =</t>
    </r>
  </si>
  <si>
    <r>
      <t xml:space="preserve">A </t>
    </r>
    <r>
      <rPr>
        <vertAlign val="subscript"/>
        <sz val="10"/>
        <rFont val="Arial"/>
        <family val="2"/>
      </rPr>
      <t>fw</t>
    </r>
    <r>
      <rPr>
        <sz val="10"/>
        <rFont val="Arial"/>
        <family val="2"/>
      </rPr>
      <t xml:space="preserve"> (DKB) =</t>
    </r>
  </si>
  <si>
    <r>
      <t xml:space="preserve">r </t>
    </r>
    <r>
      <rPr>
        <vertAlign val="subscript"/>
        <sz val="10"/>
        <rFont val="Arial"/>
        <family val="2"/>
      </rPr>
      <t>w</t>
    </r>
    <r>
      <rPr>
        <sz val="10"/>
        <rFont val="Arial"/>
        <family val="2"/>
      </rPr>
      <t xml:space="preserve"> (DKB) =</t>
    </r>
  </si>
  <si>
    <r>
      <t xml:space="preserve">= A </t>
    </r>
    <r>
      <rPr>
        <vertAlign val="subscript"/>
        <sz val="10"/>
        <rFont val="Arial"/>
        <family val="2"/>
      </rPr>
      <t>fl</t>
    </r>
    <r>
      <rPr>
        <sz val="10"/>
        <rFont val="Arial"/>
        <family val="2"/>
      </rPr>
      <t xml:space="preserve"> / d / b </t>
    </r>
    <r>
      <rPr>
        <vertAlign val="subscript"/>
        <sz val="10"/>
        <rFont val="Arial"/>
        <family val="2"/>
      </rPr>
      <t>w</t>
    </r>
  </si>
  <si>
    <r>
      <t xml:space="preserve">f </t>
    </r>
    <r>
      <rPr>
        <vertAlign val="subscript"/>
        <sz val="10"/>
        <rFont val="Arial"/>
        <family val="2"/>
      </rPr>
      <t>fd,w</t>
    </r>
    <r>
      <rPr>
        <sz val="10"/>
        <rFont val="Arial"/>
        <family val="2"/>
      </rPr>
      <t xml:space="preserve"> (Bü) =</t>
    </r>
  </si>
  <si>
    <r>
      <t xml:space="preserve">f </t>
    </r>
    <r>
      <rPr>
        <vertAlign val="subscript"/>
        <sz val="10"/>
        <rFont val="Arial"/>
        <family val="2"/>
      </rPr>
      <t>fd,w</t>
    </r>
    <r>
      <rPr>
        <sz val="10"/>
        <rFont val="Arial"/>
        <family val="2"/>
      </rPr>
      <t xml:space="preserve"> (DKB) =</t>
    </r>
  </si>
  <si>
    <r>
      <t xml:space="preserve">c </t>
    </r>
    <r>
      <rPr>
        <vertAlign val="subscript"/>
        <sz val="10"/>
        <rFont val="Arial"/>
        <family val="2"/>
      </rPr>
      <t>v</t>
    </r>
    <r>
      <rPr>
        <sz val="10"/>
        <rFont val="Arial"/>
        <family val="2"/>
      </rPr>
      <t>:</t>
    </r>
  </si>
  <si>
    <r>
      <t xml:space="preserve">s </t>
    </r>
    <r>
      <rPr>
        <vertAlign val="subscript"/>
        <sz val="10"/>
        <rFont val="Arial"/>
        <family val="2"/>
      </rPr>
      <t>w</t>
    </r>
    <r>
      <rPr>
        <sz val="10"/>
        <rFont val="Arial"/>
        <family val="2"/>
      </rPr>
      <t>:</t>
    </r>
  </si>
  <si>
    <t>EI* =</t>
  </si>
  <si>
    <r>
      <t>e</t>
    </r>
    <r>
      <rPr>
        <sz val="10"/>
        <rFont val="Arial"/>
        <family val="2"/>
      </rPr>
      <t xml:space="preserve"> </t>
    </r>
    <r>
      <rPr>
        <vertAlign val="subscript"/>
        <sz val="10"/>
        <rFont val="Arial"/>
        <family val="2"/>
      </rPr>
      <t>fd,w</t>
    </r>
    <r>
      <rPr>
        <sz val="10"/>
        <rFont val="Arial"/>
        <family val="2"/>
      </rPr>
      <t xml:space="preserve"> =</t>
    </r>
  </si>
  <si>
    <t>M:</t>
  </si>
  <si>
    <t>V:</t>
  </si>
  <si>
    <t>h:</t>
  </si>
  <si>
    <r>
      <rPr>
        <sz val="10"/>
        <rFont val="Symbol"/>
        <family val="1"/>
        <charset val="2"/>
      </rPr>
      <t>e</t>
    </r>
    <r>
      <rPr>
        <sz val="10"/>
        <rFont val="Arial"/>
        <family val="2"/>
      </rPr>
      <t xml:space="preserve"> </t>
    </r>
    <r>
      <rPr>
        <vertAlign val="subscript"/>
        <sz val="10"/>
        <rFont val="Arial"/>
        <family val="2"/>
      </rPr>
      <t>fd,w</t>
    </r>
    <r>
      <rPr>
        <sz val="10"/>
        <rFont val="Arial"/>
        <family val="2"/>
      </rPr>
      <t xml:space="preserve"> </t>
    </r>
    <r>
      <rPr>
        <sz val="10"/>
        <rFont val="Symbol"/>
        <family val="1"/>
        <charset val="2"/>
      </rPr>
      <t>£</t>
    </r>
    <r>
      <rPr>
        <sz val="10"/>
        <rFont val="Arial"/>
        <family val="2"/>
      </rPr>
      <t xml:space="preserve"> 7 ‰</t>
    </r>
  </si>
  <si>
    <r>
      <t xml:space="preserve">20° </t>
    </r>
    <r>
      <rPr>
        <sz val="10"/>
        <rFont val="Symbol"/>
        <family val="1"/>
        <charset val="2"/>
      </rPr>
      <t>£</t>
    </r>
    <r>
      <rPr>
        <sz val="10"/>
        <rFont val="Arial"/>
        <family val="2"/>
      </rPr>
      <t xml:space="preserve"> </t>
    </r>
    <r>
      <rPr>
        <sz val="10"/>
        <rFont val="Calibri"/>
        <family val="2"/>
      </rPr>
      <t>θ</t>
    </r>
    <r>
      <rPr>
        <sz val="10"/>
        <rFont val="Arial"/>
        <family val="2"/>
      </rPr>
      <t xml:space="preserve"> </t>
    </r>
    <r>
      <rPr>
        <sz val="10"/>
        <rFont val="Symbol"/>
        <family val="1"/>
        <charset val="2"/>
      </rPr>
      <t>£</t>
    </r>
    <r>
      <rPr>
        <sz val="10"/>
        <rFont val="Arial"/>
        <family val="2"/>
      </rPr>
      <t xml:space="preserve"> 50°</t>
    </r>
  </si>
  <si>
    <r>
      <t xml:space="preserve">V </t>
    </r>
    <r>
      <rPr>
        <b/>
        <vertAlign val="subscript"/>
        <sz val="10"/>
        <rFont val="Arial"/>
        <family val="2"/>
      </rPr>
      <t>Rd,ct =</t>
    </r>
  </si>
  <si>
    <r>
      <t xml:space="preserve">= h - c </t>
    </r>
    <r>
      <rPr>
        <vertAlign val="subscript"/>
        <sz val="10"/>
        <rFont val="Arial"/>
        <family val="2"/>
      </rPr>
      <t>v</t>
    </r>
    <r>
      <rPr>
        <sz val="10"/>
        <rFont val="Arial"/>
        <family val="2"/>
      </rPr>
      <t xml:space="preserve"> - d </t>
    </r>
    <r>
      <rPr>
        <vertAlign val="subscript"/>
        <sz val="10"/>
        <rFont val="Arial"/>
        <family val="2"/>
      </rPr>
      <t>Bügel</t>
    </r>
    <r>
      <rPr>
        <sz val="10"/>
        <rFont val="Arial"/>
        <family val="2"/>
      </rPr>
      <t xml:space="preserve"> - 1/2 · d </t>
    </r>
    <r>
      <rPr>
        <vertAlign val="subscript"/>
        <sz val="10"/>
        <rFont val="Arial"/>
        <family val="2"/>
      </rPr>
      <t>Stab</t>
    </r>
  </si>
  <si>
    <r>
      <t xml:space="preserve">Querschnittsfläche der Querkraftbewehrung = A </t>
    </r>
    <r>
      <rPr>
        <vertAlign val="subscript"/>
        <sz val="10"/>
        <rFont val="Arial"/>
        <family val="2"/>
      </rPr>
      <t>fw</t>
    </r>
    <r>
      <rPr>
        <sz val="10"/>
        <rFont val="Arial"/>
        <family val="2"/>
      </rPr>
      <t xml:space="preserve"> / s </t>
    </r>
    <r>
      <rPr>
        <vertAlign val="subscript"/>
        <sz val="10"/>
        <rFont val="Arial"/>
        <family val="2"/>
      </rPr>
      <t>w</t>
    </r>
  </si>
  <si>
    <r>
      <t xml:space="preserve">EI* = E </t>
    </r>
    <r>
      <rPr>
        <vertAlign val="subscript"/>
        <sz val="10"/>
        <rFont val="Arial"/>
        <family val="2"/>
      </rPr>
      <t>fl</t>
    </r>
    <r>
      <rPr>
        <sz val="10"/>
        <rFont val="Arial"/>
        <family val="2"/>
      </rPr>
      <t xml:space="preserve"> </t>
    </r>
    <r>
      <rPr>
        <sz val="10"/>
        <rFont val="Calibri"/>
        <family val="2"/>
      </rPr>
      <t>·</t>
    </r>
    <r>
      <rPr>
        <sz val="10"/>
        <rFont val="Arial"/>
        <family val="2"/>
      </rPr>
      <t xml:space="preserve"> A </t>
    </r>
    <r>
      <rPr>
        <vertAlign val="subscript"/>
        <sz val="10"/>
        <rFont val="Arial"/>
        <family val="2"/>
      </rPr>
      <t>fl</t>
    </r>
    <r>
      <rPr>
        <sz val="10"/>
        <rFont val="Arial"/>
        <family val="2"/>
      </rPr>
      <t xml:space="preserve"> (0.8 </t>
    </r>
    <r>
      <rPr>
        <sz val="10"/>
        <rFont val="Calibri"/>
        <family val="2"/>
      </rPr>
      <t>·</t>
    </r>
    <r>
      <rPr>
        <sz val="10"/>
        <rFont val="Arial"/>
        <family val="2"/>
      </rPr>
      <t xml:space="preserve"> d)²</t>
    </r>
  </si>
  <si>
    <r>
      <t xml:space="preserve">f </t>
    </r>
    <r>
      <rPr>
        <vertAlign val="subscript"/>
        <sz val="10"/>
        <rFont val="Arial"/>
        <family val="2"/>
      </rPr>
      <t>fd,w</t>
    </r>
    <r>
      <rPr>
        <sz val="10"/>
        <rFont val="Arial"/>
        <family val="2"/>
      </rPr>
      <t xml:space="preserve"> </t>
    </r>
    <r>
      <rPr>
        <sz val="10"/>
        <rFont val="Symbol"/>
        <family val="1"/>
        <charset val="2"/>
      </rPr>
      <t>£ e</t>
    </r>
    <r>
      <rPr>
        <sz val="10"/>
        <rFont val="Arial"/>
        <family val="2"/>
      </rPr>
      <t xml:space="preserve"> </t>
    </r>
    <r>
      <rPr>
        <vertAlign val="subscript"/>
        <sz val="10"/>
        <rFont val="Arial"/>
        <family val="2"/>
      </rPr>
      <t>fd,w</t>
    </r>
    <r>
      <rPr>
        <sz val="10"/>
        <rFont val="Arial"/>
        <family val="2"/>
      </rPr>
      <t xml:space="preserve"> · E </t>
    </r>
    <r>
      <rPr>
        <vertAlign val="subscript"/>
        <sz val="10"/>
        <rFont val="Arial"/>
        <family val="2"/>
      </rPr>
      <t>fw</t>
    </r>
  </si>
  <si>
    <r>
      <rPr>
        <sz val="10"/>
        <rFont val="Symbol"/>
        <family val="1"/>
        <charset val="2"/>
      </rPr>
      <t>g</t>
    </r>
    <r>
      <rPr>
        <sz val="10"/>
        <rFont val="Arial"/>
        <family val="2"/>
      </rPr>
      <t xml:space="preserve"> </t>
    </r>
    <r>
      <rPr>
        <vertAlign val="subscript"/>
        <sz val="10"/>
        <rFont val="Arial"/>
        <family val="2"/>
      </rPr>
      <t>c</t>
    </r>
    <r>
      <rPr>
        <sz val="10"/>
        <rFont val="Arial"/>
        <family val="2"/>
      </rPr>
      <t xml:space="preserve"> =</t>
    </r>
  </si>
  <si>
    <r>
      <t xml:space="preserve">f </t>
    </r>
    <r>
      <rPr>
        <vertAlign val="subscript"/>
        <sz val="10"/>
        <rFont val="Arial"/>
        <family val="2"/>
      </rPr>
      <t>fd,w</t>
    </r>
    <r>
      <rPr>
        <sz val="10"/>
        <rFont val="Arial"/>
        <family val="2"/>
      </rPr>
      <t xml:space="preserve"> (DKB)</t>
    </r>
  </si>
  <si>
    <t>aus Dauerstandversuchen</t>
  </si>
  <si>
    <r>
      <t xml:space="preserve">a </t>
    </r>
    <r>
      <rPr>
        <vertAlign val="subscript"/>
        <sz val="10"/>
        <rFont val="Arial"/>
        <family val="2"/>
      </rPr>
      <t>fw</t>
    </r>
    <r>
      <rPr>
        <sz val="10"/>
        <rFont val="Arial"/>
        <family val="2"/>
      </rPr>
      <t xml:space="preserve"> (Bü) =</t>
    </r>
  </si>
  <si>
    <r>
      <t xml:space="preserve">a </t>
    </r>
    <r>
      <rPr>
        <vertAlign val="subscript"/>
        <sz val="10"/>
        <rFont val="Arial"/>
        <family val="2"/>
      </rPr>
      <t>fw</t>
    </r>
    <r>
      <rPr>
        <sz val="10"/>
        <rFont val="Arial"/>
        <family val="2"/>
      </rPr>
      <t xml:space="preserve"> (DKB) =</t>
    </r>
  </si>
  <si>
    <r>
      <t xml:space="preserve">a </t>
    </r>
    <r>
      <rPr>
        <vertAlign val="subscript"/>
        <sz val="10"/>
        <rFont val="Arial"/>
        <family val="2"/>
      </rPr>
      <t>fw</t>
    </r>
  </si>
  <si>
    <t>IV.</t>
  </si>
  <si>
    <t>Bemessungswert Zugfestigkeit der Querkraftbewehrung</t>
  </si>
  <si>
    <r>
      <t xml:space="preserve">f </t>
    </r>
    <r>
      <rPr>
        <vertAlign val="subscript"/>
        <sz val="10"/>
        <rFont val="Arial"/>
        <family val="2"/>
      </rPr>
      <t>fd,w</t>
    </r>
    <r>
      <rPr>
        <sz val="10"/>
        <rFont val="Arial"/>
        <family val="2"/>
      </rPr>
      <t xml:space="preserve"> (Bügel) =</t>
    </r>
  </si>
  <si>
    <r>
      <t xml:space="preserve">V </t>
    </r>
    <r>
      <rPr>
        <b/>
        <vertAlign val="subscript"/>
        <sz val="10"/>
        <rFont val="Arial"/>
        <family val="2"/>
      </rPr>
      <t>Rd,f</t>
    </r>
    <r>
      <rPr>
        <b/>
        <sz val="10"/>
        <rFont val="Arial"/>
        <family val="2"/>
      </rPr>
      <t xml:space="preserve"> (Bügel) =</t>
    </r>
  </si>
  <si>
    <r>
      <t xml:space="preserve">V </t>
    </r>
    <r>
      <rPr>
        <b/>
        <vertAlign val="subscript"/>
        <sz val="10"/>
        <rFont val="Arial"/>
        <family val="2"/>
      </rPr>
      <t>Rd,f</t>
    </r>
    <r>
      <rPr>
        <b/>
        <sz val="10"/>
        <rFont val="Arial"/>
        <family val="2"/>
      </rPr>
      <t xml:space="preserve"> (DKB) =</t>
    </r>
  </si>
  <si>
    <r>
      <t xml:space="preserve">V </t>
    </r>
    <r>
      <rPr>
        <b/>
        <vertAlign val="subscript"/>
        <sz val="12"/>
        <rFont val="Arial"/>
        <family val="2"/>
      </rPr>
      <t>Rd,c</t>
    </r>
    <r>
      <rPr>
        <b/>
        <sz val="12"/>
        <rFont val="Arial"/>
        <family val="2"/>
      </rPr>
      <t xml:space="preserve"> =</t>
    </r>
  </si>
  <si>
    <t>Nr.</t>
  </si>
  <si>
    <t>Basiswerte für die Berechnung</t>
  </si>
  <si>
    <r>
      <t xml:space="preserve">b </t>
    </r>
    <r>
      <rPr>
        <vertAlign val="subscript"/>
        <sz val="10"/>
        <rFont val="Arial"/>
        <family val="2"/>
      </rPr>
      <t>w</t>
    </r>
    <r>
      <rPr>
        <sz val="10"/>
        <rFont val="Arial"/>
        <family val="2"/>
      </rPr>
      <t>:</t>
    </r>
  </si>
  <si>
    <t>Erstellt von:</t>
  </si>
  <si>
    <t>Kontakt</t>
  </si>
  <si>
    <t>Inhalt</t>
  </si>
  <si>
    <t>Ermittlung der Anzahl von Klippsen</t>
  </si>
  <si>
    <t>Ermittlung der Anzahl von Abstandshaltern</t>
  </si>
  <si>
    <t>Berechnung der Mindestbewehrung</t>
  </si>
  <si>
    <t>Berechnung der Querkrafttragfähigkeit</t>
  </si>
  <si>
    <t>Eingabefeld</t>
  </si>
  <si>
    <t>Zwischenergebnis</t>
  </si>
  <si>
    <t>Endergebnis</t>
  </si>
  <si>
    <t>Benutzungshinweis</t>
  </si>
  <si>
    <t>Berechnung der Verankerungs- und Übergreifungslängen gerader Stäbe</t>
  </si>
  <si>
    <t>Berechnung der Verankerungs- und Übergreifungslängen gebogener Stäbe</t>
  </si>
  <si>
    <t>Versionshistorie</t>
  </si>
  <si>
    <t>V 2.0 / Januar 2015: Zusammenführung der Einzelbemessungsblätter in eine Datei</t>
  </si>
  <si>
    <r>
      <t xml:space="preserve">Anzahl von Klippsen für eine Lage Flächenbewehrung
</t>
    </r>
    <r>
      <rPr>
        <b/>
        <sz val="14"/>
        <color indexed="55"/>
        <rFont val="Arial"/>
        <family val="2"/>
      </rPr>
      <t>Beliebiger Grundriss</t>
    </r>
  </si>
  <si>
    <t>Grundrissfläche A =</t>
  </si>
  <si>
    <t>Umfang U =</t>
  </si>
  <si>
    <t>Stababstand a =</t>
  </si>
  <si>
    <t xml:space="preserve"> </t>
  </si>
  <si>
    <t>Sprungzahl t =</t>
  </si>
  <si>
    <t>Anzahl Klipps Σn =</t>
  </si>
  <si>
    <t>a = Abstand der Stäbe (Achsmaß)</t>
  </si>
  <si>
    <t xml:space="preserve">Bsp.: Sprungzahl t = 3 </t>
  </si>
  <si>
    <t xml:space="preserve">        &gt; Klippverbindung an jedem 3. Kreuzungspunkt</t>
  </si>
  <si>
    <t>Σn = (A / (a² * t)) + U / a</t>
  </si>
  <si>
    <t>Grundrissfläche A</t>
  </si>
  <si>
    <t>Anzahl Abstandshalter / m²</t>
  </si>
  <si>
    <t>Stck</t>
  </si>
  <si>
    <t>Bauteildicke</t>
  </si>
  <si>
    <t>mm</t>
  </si>
  <si>
    <t>Betondeckung oben</t>
  </si>
  <si>
    <t>Betondeckung unten</t>
  </si>
  <si>
    <t>Bewehrung obere Lage</t>
  </si>
  <si>
    <t xml:space="preserve">1. Lage </t>
  </si>
  <si>
    <t>2.Lage</t>
  </si>
  <si>
    <t>Bewehrung untere Lage</t>
  </si>
  <si>
    <t>Höhe der Abstandshalter</t>
  </si>
  <si>
    <t>Anzahl Abstandshalter</t>
  </si>
  <si>
    <t>Anzahl Abstandshalter / Rohr</t>
  </si>
  <si>
    <t>Anzahl der 2m-Rohre</t>
  </si>
  <si>
    <t>Bauteil</t>
  </si>
  <si>
    <t>Höhe</t>
  </si>
  <si>
    <t>h</t>
  </si>
  <si>
    <t>[mm]</t>
  </si>
  <si>
    <t>Breite</t>
  </si>
  <si>
    <t>b</t>
  </si>
  <si>
    <r>
      <t>f</t>
    </r>
    <r>
      <rPr>
        <vertAlign val="subscript"/>
        <sz val="10"/>
        <rFont val="Arial"/>
        <family val="2"/>
      </rPr>
      <t>yGFKd/fcd</t>
    </r>
    <r>
      <rPr>
        <sz val="10"/>
        <rFont val="Arial"/>
        <family val="2"/>
      </rPr>
      <t>:</t>
    </r>
  </si>
  <si>
    <r>
      <t>Ø</t>
    </r>
    <r>
      <rPr>
        <vertAlign val="subscript"/>
        <sz val="10"/>
        <rFont val="Arial"/>
        <family val="2"/>
      </rPr>
      <t>f</t>
    </r>
  </si>
  <si>
    <t>Af [mm²]</t>
  </si>
  <si>
    <t>Betondeckung</t>
  </si>
  <si>
    <r>
      <t>c</t>
    </r>
    <r>
      <rPr>
        <vertAlign val="subscript"/>
        <sz val="10"/>
        <rFont val="Arial"/>
        <family val="2"/>
      </rPr>
      <t>v</t>
    </r>
  </si>
  <si>
    <t>Betonkennwerte</t>
  </si>
  <si>
    <t>Betongüte</t>
  </si>
  <si>
    <t>C 35/45</t>
  </si>
  <si>
    <r>
      <t>E</t>
    </r>
    <r>
      <rPr>
        <vertAlign val="subscript"/>
        <sz val="10"/>
        <rFont val="Arial"/>
        <family val="2"/>
      </rPr>
      <t>c0m</t>
    </r>
  </si>
  <si>
    <r>
      <t>E</t>
    </r>
    <r>
      <rPr>
        <vertAlign val="subscript"/>
        <sz val="10"/>
        <rFont val="Arial"/>
        <family val="2"/>
      </rPr>
      <t>cm</t>
    </r>
  </si>
  <si>
    <r>
      <t>f</t>
    </r>
    <r>
      <rPr>
        <vertAlign val="subscript"/>
        <sz val="10"/>
        <rFont val="Arial"/>
        <family val="2"/>
      </rPr>
      <t>yd/fcd</t>
    </r>
  </si>
  <si>
    <r>
      <t>f</t>
    </r>
    <r>
      <rPr>
        <vertAlign val="subscript"/>
        <sz val="10"/>
        <rFont val="Arial"/>
        <family val="2"/>
      </rPr>
      <t>yGFKd/fcd</t>
    </r>
  </si>
  <si>
    <t>C 16/20</t>
  </si>
  <si>
    <t>stat. Nutzhöhe</t>
  </si>
  <si>
    <t>d</t>
  </si>
  <si>
    <t>C 20/25</t>
  </si>
  <si>
    <t>innerer Hebelarm</t>
  </si>
  <si>
    <t>z</t>
  </si>
  <si>
    <t>z = ca. 0,9 * d</t>
  </si>
  <si>
    <t>C 25/30</t>
  </si>
  <si>
    <t>C 30/37</t>
  </si>
  <si>
    <t>Widerstandsm.</t>
  </si>
  <si>
    <r>
      <t>W</t>
    </r>
    <r>
      <rPr>
        <vertAlign val="subscript"/>
        <sz val="10"/>
        <rFont val="Arial"/>
        <family val="2"/>
      </rPr>
      <t>I</t>
    </r>
  </si>
  <si>
    <t>[m³]</t>
  </si>
  <si>
    <t>Zustand I</t>
  </si>
  <si>
    <t>C 40/50</t>
  </si>
  <si>
    <t>C 45/55</t>
  </si>
  <si>
    <r>
      <t>f</t>
    </r>
    <r>
      <rPr>
        <vertAlign val="subscript"/>
        <sz val="10"/>
        <rFont val="Arial"/>
        <family val="2"/>
      </rPr>
      <t>ctm</t>
    </r>
    <r>
      <rPr>
        <sz val="10"/>
        <rFont val="Arial"/>
        <family val="2"/>
      </rPr>
      <t xml:space="preserve"> </t>
    </r>
  </si>
  <si>
    <t>[N/mm²]</t>
  </si>
  <si>
    <t>C 50/60</t>
  </si>
  <si>
    <r>
      <t>M</t>
    </r>
    <r>
      <rPr>
        <vertAlign val="subscript"/>
        <sz val="10"/>
        <rFont val="Arial"/>
        <family val="2"/>
      </rPr>
      <t xml:space="preserve">cr </t>
    </r>
  </si>
  <si>
    <t>[kNm]</t>
  </si>
  <si>
    <r>
      <t>M</t>
    </r>
    <r>
      <rPr>
        <vertAlign val="subscript"/>
        <sz val="10"/>
        <rFont val="Arial"/>
        <family val="2"/>
      </rPr>
      <t>cr</t>
    </r>
    <r>
      <rPr>
        <sz val="10"/>
        <rFont val="Arial"/>
        <family val="2"/>
      </rPr>
      <t xml:space="preserve"> = f</t>
    </r>
    <r>
      <rPr>
        <vertAlign val="subscript"/>
        <sz val="10"/>
        <rFont val="Arial"/>
        <family val="2"/>
      </rPr>
      <t>ctm</t>
    </r>
    <r>
      <rPr>
        <sz val="10"/>
        <rFont val="Arial"/>
        <family val="2"/>
      </rPr>
      <t xml:space="preserve"> x W</t>
    </r>
    <r>
      <rPr>
        <vertAlign val="subscript"/>
        <sz val="10"/>
        <rFont val="Arial"/>
        <family val="2"/>
      </rPr>
      <t>I</t>
    </r>
  </si>
  <si>
    <r>
      <rPr>
        <sz val="10"/>
        <rFont val="GreekC"/>
      </rPr>
      <t>σ</t>
    </r>
    <r>
      <rPr>
        <vertAlign val="subscript"/>
        <sz val="10"/>
        <rFont val="Arial"/>
        <family val="2"/>
      </rPr>
      <t>f</t>
    </r>
    <r>
      <rPr>
        <sz val="10"/>
        <rFont val="Arial"/>
        <family val="2"/>
      </rPr>
      <t xml:space="preserve"> </t>
    </r>
  </si>
  <si>
    <t>nach DIN 1045-1 Tabelle 9 (vgl. DAfStb Heft 525)</t>
  </si>
  <si>
    <t>nach DAfStb Heft 525</t>
  </si>
  <si>
    <r>
      <t>A</t>
    </r>
    <r>
      <rPr>
        <b/>
        <vertAlign val="subscript"/>
        <sz val="10"/>
        <rFont val="Arial"/>
        <family val="2"/>
      </rPr>
      <t>f,min</t>
    </r>
    <r>
      <rPr>
        <b/>
        <sz val="10"/>
        <rFont val="Arial"/>
        <family val="2"/>
      </rPr>
      <t xml:space="preserve">  =</t>
    </r>
  </si>
  <si>
    <t>[mm²]</t>
  </si>
  <si>
    <r>
      <t>A</t>
    </r>
    <r>
      <rPr>
        <vertAlign val="subscript"/>
        <sz val="10"/>
        <rFont val="Arial"/>
        <family val="2"/>
      </rPr>
      <t>f,min</t>
    </r>
    <r>
      <rPr>
        <sz val="10"/>
        <rFont val="Arial"/>
        <family val="2"/>
      </rPr>
      <t xml:space="preserve"> = M</t>
    </r>
    <r>
      <rPr>
        <vertAlign val="subscript"/>
        <sz val="10"/>
        <rFont val="Arial"/>
        <family val="2"/>
      </rPr>
      <t>cr</t>
    </r>
    <r>
      <rPr>
        <sz val="10"/>
        <rFont val="Arial"/>
        <family val="2"/>
      </rPr>
      <t xml:space="preserve"> / </t>
    </r>
    <r>
      <rPr>
        <sz val="10"/>
        <rFont val="GreekC"/>
      </rPr>
      <t>σ</t>
    </r>
    <r>
      <rPr>
        <vertAlign val="subscript"/>
        <sz val="10"/>
        <rFont val="Arial"/>
        <family val="2"/>
      </rPr>
      <t>f</t>
    </r>
    <r>
      <rPr>
        <sz val="10"/>
        <rFont val="Arial"/>
        <family val="2"/>
      </rPr>
      <t xml:space="preserve"> / z</t>
    </r>
  </si>
  <si>
    <t>GPa</t>
  </si>
  <si>
    <r>
      <t xml:space="preserve">Bemessungswert  Dauerzugfestigkeit f </t>
    </r>
    <r>
      <rPr>
        <vertAlign val="subscript"/>
        <sz val="10"/>
        <rFont val="Arial"/>
        <family val="2"/>
      </rPr>
      <t>fd</t>
    </r>
    <r>
      <rPr>
        <sz val="10"/>
        <rFont val="Arial"/>
        <family val="2"/>
      </rPr>
      <t>:</t>
    </r>
  </si>
  <si>
    <t>N/mm²</t>
  </si>
  <si>
    <t>Betonqualität (EC2) :</t>
  </si>
  <si>
    <t>[-]</t>
  </si>
  <si>
    <t>Verbundbereich</t>
  </si>
  <si>
    <r>
      <rPr>
        <sz val="12"/>
        <rFont val="Calibri"/>
        <family val="2"/>
      </rPr>
      <t>α</t>
    </r>
    <r>
      <rPr>
        <sz val="10"/>
        <rFont val="Arial"/>
        <family val="2"/>
      </rPr>
      <t xml:space="preserve"> </t>
    </r>
    <r>
      <rPr>
        <sz val="8"/>
        <rFont val="Arial"/>
        <family val="2"/>
      </rPr>
      <t>6</t>
    </r>
  </si>
  <si>
    <t>Verbundbereich :</t>
  </si>
  <si>
    <r>
      <t xml:space="preserve">Beton-Verbundspannung , f </t>
    </r>
    <r>
      <rPr>
        <sz val="8"/>
        <rFont val="Arial"/>
        <family val="2"/>
      </rPr>
      <t>bd</t>
    </r>
    <r>
      <rPr>
        <sz val="10"/>
        <rFont val="Arial"/>
        <family val="2"/>
      </rPr>
      <t xml:space="preserve"> guter Verbund:</t>
    </r>
  </si>
  <si>
    <t>η1</t>
  </si>
  <si>
    <r>
      <t>Stabdurchmesser d</t>
    </r>
    <r>
      <rPr>
        <sz val="8"/>
        <rFont val="Arial"/>
        <family val="2"/>
      </rPr>
      <t xml:space="preserve">f </t>
    </r>
    <r>
      <rPr>
        <sz val="10"/>
        <rFont val="Arial"/>
        <family val="2"/>
      </rPr>
      <t>:</t>
    </r>
  </si>
  <si>
    <r>
      <t xml:space="preserve">Stab-Endausbildung, </t>
    </r>
    <r>
      <rPr>
        <sz val="12"/>
        <rFont val="Calibri"/>
        <family val="2"/>
      </rPr>
      <t>α</t>
    </r>
    <r>
      <rPr>
        <sz val="8"/>
        <rFont val="Arial"/>
        <family val="2"/>
      </rPr>
      <t>1</t>
    </r>
    <r>
      <rPr>
        <sz val="10"/>
        <rFont val="Arial"/>
        <family val="2"/>
      </rPr>
      <t>:</t>
    </r>
  </si>
  <si>
    <r>
      <t xml:space="preserve">Zug-Stoßart </t>
    </r>
    <r>
      <rPr>
        <sz val="12"/>
        <rFont val="Calibri"/>
        <family val="2"/>
      </rPr>
      <t>α</t>
    </r>
    <r>
      <rPr>
        <sz val="8"/>
        <rFont val="Arial"/>
        <family val="2"/>
      </rPr>
      <t>6</t>
    </r>
    <r>
      <rPr>
        <sz val="10"/>
        <rFont val="Arial"/>
        <family val="2"/>
      </rPr>
      <t>:</t>
    </r>
  </si>
  <si>
    <t>vorhandene Spannung</t>
  </si>
  <si>
    <r>
      <t>σ</t>
    </r>
    <r>
      <rPr>
        <sz val="8"/>
        <rFont val="Arial"/>
        <family val="2"/>
      </rPr>
      <t>f</t>
    </r>
  </si>
  <si>
    <r>
      <t>f</t>
    </r>
    <r>
      <rPr>
        <sz val="8"/>
        <rFont val="Arial"/>
        <family val="2"/>
      </rPr>
      <t xml:space="preserve"> f</t>
    </r>
    <r>
      <rPr>
        <vertAlign val="subscript"/>
        <sz val="8"/>
        <rFont val="Arial"/>
        <family val="2"/>
      </rPr>
      <t>d</t>
    </r>
  </si>
  <si>
    <t>Ausnutzung</t>
  </si>
  <si>
    <t>%</t>
  </si>
  <si>
    <t>Grundverankerungsmaß</t>
  </si>
  <si>
    <r>
      <t xml:space="preserve">l </t>
    </r>
    <r>
      <rPr>
        <vertAlign val="subscript"/>
        <sz val="12"/>
        <rFont val="Arial"/>
        <family val="2"/>
      </rPr>
      <t>b,rqd</t>
    </r>
  </si>
  <si>
    <r>
      <t>l</t>
    </r>
    <r>
      <rPr>
        <sz val="8"/>
        <rFont val="Arial"/>
        <family val="2"/>
      </rPr>
      <t>b,min</t>
    </r>
  </si>
  <si>
    <t>&gt;10 ds</t>
  </si>
  <si>
    <r>
      <rPr>
        <vertAlign val="subscript"/>
        <sz val="10"/>
        <rFont val="Arial"/>
        <family val="2"/>
      </rPr>
      <t>0,3*</t>
    </r>
    <r>
      <rPr>
        <vertAlign val="subscript"/>
        <sz val="10"/>
        <rFont val="Symbol"/>
        <family val="1"/>
        <charset val="2"/>
      </rPr>
      <t>a1</t>
    </r>
    <r>
      <rPr>
        <vertAlign val="subscript"/>
        <sz val="10"/>
        <rFont val="Arial"/>
        <family val="2"/>
      </rPr>
      <t>*lb,rqd</t>
    </r>
  </si>
  <si>
    <r>
      <t xml:space="preserve">l </t>
    </r>
    <r>
      <rPr>
        <sz val="8"/>
        <rFont val="Arial"/>
        <family val="2"/>
      </rPr>
      <t>bd</t>
    </r>
  </si>
  <si>
    <t>Verankerungslänge</t>
  </si>
  <si>
    <r>
      <t xml:space="preserve">l </t>
    </r>
    <r>
      <rPr>
        <b/>
        <vertAlign val="subscript"/>
        <sz val="12"/>
        <rFont val="Arial"/>
        <family val="2"/>
      </rPr>
      <t>bd</t>
    </r>
  </si>
  <si>
    <r>
      <t xml:space="preserve">l </t>
    </r>
    <r>
      <rPr>
        <sz val="8"/>
        <rFont val="Arial"/>
        <family val="2"/>
      </rPr>
      <t>o,min</t>
    </r>
  </si>
  <si>
    <t>&gt;20 cm</t>
  </si>
  <si>
    <t>&gt;15 ds</t>
  </si>
  <si>
    <r>
      <rPr>
        <vertAlign val="subscript"/>
        <sz val="10"/>
        <rFont val="Arial"/>
        <family val="2"/>
      </rPr>
      <t>0,3*</t>
    </r>
    <r>
      <rPr>
        <vertAlign val="subscript"/>
        <sz val="10"/>
        <rFont val="Symbol"/>
        <family val="1"/>
        <charset val="2"/>
      </rPr>
      <t>a1</t>
    </r>
    <r>
      <rPr>
        <vertAlign val="subscript"/>
        <sz val="10"/>
        <rFont val="Arial"/>
        <family val="2"/>
      </rPr>
      <t>*</t>
    </r>
    <r>
      <rPr>
        <vertAlign val="subscript"/>
        <sz val="10"/>
        <rFont val="Symbol"/>
        <family val="1"/>
        <charset val="2"/>
      </rPr>
      <t>a6</t>
    </r>
    <r>
      <rPr>
        <vertAlign val="subscript"/>
        <sz val="10"/>
        <rFont val="Arial"/>
        <family val="2"/>
      </rPr>
      <t>*lb,rqd</t>
    </r>
  </si>
  <si>
    <r>
      <t xml:space="preserve">l </t>
    </r>
    <r>
      <rPr>
        <sz val="8"/>
        <rFont val="Arial"/>
        <family val="2"/>
      </rPr>
      <t>o</t>
    </r>
  </si>
  <si>
    <t>Übergreifungslänge</t>
  </si>
  <si>
    <r>
      <t xml:space="preserve">l </t>
    </r>
    <r>
      <rPr>
        <b/>
        <sz val="8"/>
        <rFont val="Arial"/>
        <family val="2"/>
      </rPr>
      <t>o</t>
    </r>
  </si>
  <si>
    <t>Beton-Verbundspannung , f bd guter Verbund:</t>
  </si>
  <si>
    <r>
      <rPr>
        <vertAlign val="subscript"/>
        <sz val="10"/>
        <rFont val="Arial"/>
        <family val="2"/>
      </rPr>
      <t>0,3*</t>
    </r>
    <r>
      <rPr>
        <vertAlign val="subscript"/>
        <sz val="10"/>
        <rFont val="Symbol"/>
        <family val="1"/>
        <charset val="2"/>
      </rPr>
      <t>a1</t>
    </r>
    <r>
      <rPr>
        <vertAlign val="subscript"/>
        <sz val="10"/>
        <rFont val="Arial"/>
        <family val="2"/>
      </rPr>
      <t>*lb</t>
    </r>
  </si>
  <si>
    <r>
      <t xml:space="preserve">l </t>
    </r>
    <r>
      <rPr>
        <sz val="8"/>
        <rFont val="Arial"/>
        <family val="2"/>
      </rPr>
      <t>o</t>
    </r>
    <r>
      <rPr>
        <vertAlign val="subscript"/>
        <sz val="10"/>
        <rFont val="Arial"/>
        <family val="2"/>
      </rPr>
      <t>,min (&gt;20 cm)</t>
    </r>
  </si>
  <si>
    <r>
      <t xml:space="preserve">l </t>
    </r>
    <r>
      <rPr>
        <sz val="8"/>
        <rFont val="Arial"/>
        <family val="2"/>
      </rPr>
      <t>o</t>
    </r>
    <r>
      <rPr>
        <vertAlign val="subscript"/>
        <sz val="10"/>
        <rFont val="Arial"/>
        <family val="2"/>
      </rPr>
      <t>,min (&gt;15 ds)</t>
    </r>
  </si>
  <si>
    <r>
      <t xml:space="preserve">l </t>
    </r>
    <r>
      <rPr>
        <sz val="8"/>
        <rFont val="Arial"/>
        <family val="2"/>
      </rPr>
      <t>o</t>
    </r>
    <r>
      <rPr>
        <vertAlign val="subscript"/>
        <sz val="10"/>
        <rFont val="Arial"/>
        <family val="2"/>
      </rPr>
      <t>,min(0,3*</t>
    </r>
    <r>
      <rPr>
        <vertAlign val="subscript"/>
        <sz val="10"/>
        <rFont val="Symbol"/>
        <family val="1"/>
        <charset val="2"/>
      </rPr>
      <t>a1</t>
    </r>
    <r>
      <rPr>
        <vertAlign val="subscript"/>
        <sz val="10"/>
        <rFont val="Arial"/>
        <family val="2"/>
      </rPr>
      <t>*</t>
    </r>
    <r>
      <rPr>
        <vertAlign val="subscript"/>
        <sz val="10"/>
        <rFont val="Symbol"/>
        <family val="1"/>
        <charset val="2"/>
      </rPr>
      <t>a6</t>
    </r>
    <r>
      <rPr>
        <vertAlign val="subscript"/>
        <sz val="10"/>
        <rFont val="Arial"/>
        <family val="2"/>
      </rPr>
      <t>*lb)</t>
    </r>
  </si>
  <si>
    <r>
      <t xml:space="preserve">l </t>
    </r>
    <r>
      <rPr>
        <b/>
        <sz val="8"/>
        <rFont val="Arial"/>
        <family val="2"/>
      </rPr>
      <t>o</t>
    </r>
    <r>
      <rPr>
        <b/>
        <vertAlign val="subscript"/>
        <sz val="12"/>
        <rFont val="Arial"/>
        <family val="2"/>
      </rPr>
      <t>, maßgebend</t>
    </r>
  </si>
  <si>
    <t xml:space="preserve">Anzahl von Abstandshaltern zwischen 2 Lagen Flächenbewehrung
</t>
  </si>
  <si>
    <t>gem. AbZ bei mäßigem Verbund</t>
  </si>
  <si>
    <r>
      <t xml:space="preserve">Rechtliche Hinweise:
</t>
    </r>
    <r>
      <rPr>
        <sz val="10"/>
        <rFont val="Arial"/>
        <family val="2"/>
      </rPr>
      <t>Diesese Bemessungshilfe darf nicht verändert werden. 
Technische Änderungen vorbehalten. 
Wir weisen darauf hin, dass es nach dem Stand der Technik nicht möglich ist, Software so zu erstellen, dass sie in allen Kombinationen und Anwendungen fehlerfrei arbeitet. Wir übernehmen daher keinerlei Haftung für Richtigkeit und Vollständigkeit der mit der Schöck-Software berechneten Bemessungen und Ergebnisse, d.h. Sie bleiben als Anwender und Nutzer für die Fehlerfreiheit der mittels dieser Software berechneten Ergebnisse allein verantwortlich! Wir empfehlen, die Schöck-Software, wie jede andere Software, vor dem tatsächlichen Einsatz umfassend in einer nicht kritischen Umgebung im Echtbetrieb zu testen, weisen aber ausdrücklich darauf hin, dass Sie in jedem Fall gehalten bleiben, die Eingabewerte und die Bemessungsergebnisse zu kontrollieren und anhand aktueller Unterlagen (Normen, Zulassungen, Produktbeschreibungen) auf Fehlerfreiheit zu prüfen.</t>
    </r>
  </si>
  <si>
    <r>
      <t xml:space="preserve">Bemerkungen:
</t>
    </r>
    <r>
      <rPr>
        <sz val="10"/>
        <rFont val="Arial"/>
        <family val="2"/>
      </rPr>
      <t xml:space="preserve">Dieses Bemessungskonzept ist nur für </t>
    </r>
    <r>
      <rPr>
        <b/>
        <sz val="10"/>
        <rFont val="Arial"/>
        <family val="2"/>
      </rPr>
      <t>Querkraftbewehrung</t>
    </r>
    <r>
      <rPr>
        <sz val="10"/>
        <rFont val="Arial"/>
        <family val="2"/>
      </rPr>
      <t xml:space="preserve"> die </t>
    </r>
    <r>
      <rPr>
        <b/>
        <sz val="10"/>
        <rFont val="Arial"/>
        <family val="2"/>
      </rPr>
      <t>senkrecht zur Bauteilachse (</t>
    </r>
    <r>
      <rPr>
        <b/>
        <sz val="10"/>
        <rFont val="Symbol"/>
        <family val="1"/>
        <charset val="2"/>
      </rPr>
      <t>a</t>
    </r>
    <r>
      <rPr>
        <b/>
        <sz val="10"/>
        <rFont val="Arial"/>
        <family val="2"/>
      </rPr>
      <t xml:space="preserve"> = 90°)</t>
    </r>
    <r>
      <rPr>
        <sz val="10"/>
        <rFont val="Arial"/>
        <family val="2"/>
      </rPr>
      <t xml:space="preserve"> steht gültig!</t>
    </r>
    <r>
      <rPr>
        <u/>
        <sz val="10"/>
        <rFont val="Arial"/>
        <family val="2"/>
      </rPr>
      <t xml:space="preserve">
</t>
    </r>
    <r>
      <rPr>
        <sz val="10"/>
        <rFont val="Arial"/>
        <family val="2"/>
      </rPr>
      <t xml:space="preserve">
Das Bemessungskonzept wurde an der RWTH Aachen entwickelt und basiert auf einer umfangreichen Versuchsreihe unter Einsatz verschiedener Glasfaser-Bewehrungsstäbe sowie der Auswertung einer Reihe weiterer externer Versuche an Bauteilen mit Glasfaserbewehrung. [M. Kurth, J. Hegger: Zur Querkrafttragfähigkeit von Betonbauteilen mit Faserverbundkunststoff-Bewehrung - Ableitung eines Bemessungsansatzes; Bauingenieur Band 88, Oktober 2013]. Verfasser des Excel-Blattes: Schöck Bauteile GmbH.</t>
    </r>
  </si>
  <si>
    <t>Pos.</t>
  </si>
  <si>
    <t>Ø [mm]</t>
  </si>
  <si>
    <r>
      <t>f</t>
    </r>
    <r>
      <rPr>
        <vertAlign val="subscript"/>
        <sz val="10"/>
        <rFont val="Arial"/>
        <family val="2"/>
      </rPr>
      <t xml:space="preserve">ck </t>
    </r>
    <r>
      <rPr>
        <sz val="10"/>
        <rFont val="Arial"/>
        <family val="2"/>
      </rPr>
      <t>[N/mm²]</t>
    </r>
  </si>
  <si>
    <r>
      <t>f</t>
    </r>
    <r>
      <rPr>
        <vertAlign val="subscript"/>
        <sz val="10"/>
        <rFont val="Arial"/>
        <family val="2"/>
      </rPr>
      <t xml:space="preserve">cm </t>
    </r>
    <r>
      <rPr>
        <sz val="10"/>
        <rFont val="Arial"/>
        <family val="2"/>
      </rPr>
      <t>[N/mm²]</t>
    </r>
  </si>
  <si>
    <r>
      <t>f</t>
    </r>
    <r>
      <rPr>
        <vertAlign val="subscript"/>
        <sz val="10"/>
        <rFont val="Arial"/>
        <family val="2"/>
      </rPr>
      <t xml:space="preserve">ctm </t>
    </r>
    <r>
      <rPr>
        <sz val="10"/>
        <rFont val="Arial"/>
        <family val="2"/>
      </rPr>
      <t>[N/mm²]</t>
    </r>
  </si>
  <si>
    <r>
      <t>f</t>
    </r>
    <r>
      <rPr>
        <vertAlign val="subscript"/>
        <sz val="10"/>
        <rFont val="Arial"/>
        <family val="2"/>
      </rPr>
      <t xml:space="preserve">cd </t>
    </r>
    <r>
      <rPr>
        <sz val="10"/>
        <rFont val="Arial"/>
        <family val="2"/>
      </rPr>
      <t>[N/mm²]</t>
    </r>
  </si>
  <si>
    <r>
      <t>E</t>
    </r>
    <r>
      <rPr>
        <vertAlign val="subscript"/>
        <sz val="10"/>
        <rFont val="Arial"/>
        <family val="2"/>
      </rPr>
      <t xml:space="preserve">c0m </t>
    </r>
    <r>
      <rPr>
        <sz val="10"/>
        <rFont val="Arial"/>
        <family val="2"/>
      </rPr>
      <t>[N/mm²]</t>
    </r>
  </si>
  <si>
    <r>
      <t>E</t>
    </r>
    <r>
      <rPr>
        <vertAlign val="subscript"/>
        <sz val="10"/>
        <rFont val="Arial"/>
        <family val="2"/>
      </rPr>
      <t>cm</t>
    </r>
    <r>
      <rPr>
        <sz val="10"/>
        <rFont val="Arial"/>
        <family val="2"/>
      </rPr>
      <t xml:space="preserve"> [N/mm²]</t>
    </r>
  </si>
  <si>
    <r>
      <t xml:space="preserve">Ø </t>
    </r>
    <r>
      <rPr>
        <sz val="10"/>
        <rFont val="Arial"/>
        <family val="2"/>
      </rPr>
      <t>Kern [mm]</t>
    </r>
  </si>
  <si>
    <r>
      <t xml:space="preserve">f </t>
    </r>
    <r>
      <rPr>
        <vertAlign val="subscript"/>
        <sz val="10"/>
        <rFont val="Arial"/>
        <family val="2"/>
      </rPr>
      <t>fd,w</t>
    </r>
    <r>
      <rPr>
        <sz val="10"/>
        <rFont val="Arial"/>
        <family val="2"/>
      </rPr>
      <t xml:space="preserve"> [N/mm²]</t>
    </r>
  </si>
  <si>
    <r>
      <t>f</t>
    </r>
    <r>
      <rPr>
        <vertAlign val="subscript"/>
        <sz val="10"/>
        <rFont val="Arial"/>
        <family val="2"/>
      </rPr>
      <t>bd</t>
    </r>
    <r>
      <rPr>
        <sz val="10"/>
        <rFont val="Arial"/>
        <family val="2"/>
      </rPr>
      <t xml:space="preserve"> [N/mm²] Stahl</t>
    </r>
  </si>
  <si>
    <t>[m²]</t>
  </si>
  <si>
    <t>[m]</t>
  </si>
  <si>
    <t>100 Jahre</t>
  </si>
  <si>
    <t>5 Jahre</t>
  </si>
  <si>
    <t>=0,9 x d</t>
  </si>
  <si>
    <t>mäßiger Verbundbereich (2)</t>
  </si>
  <si>
    <t>guter Verbundbereich (1)</t>
  </si>
  <si>
    <r>
      <t>&gt;10 d</t>
    </r>
    <r>
      <rPr>
        <vertAlign val="subscript"/>
        <sz val="8"/>
        <rFont val="Arial"/>
        <family val="2"/>
      </rPr>
      <t>s</t>
    </r>
    <r>
      <rPr>
        <sz val="8"/>
        <rFont val="Arial"/>
        <family val="2"/>
      </rPr>
      <t xml:space="preserve"> (13d</t>
    </r>
    <r>
      <rPr>
        <vertAlign val="subscript"/>
        <sz val="8"/>
        <rFont val="Arial"/>
        <family val="2"/>
      </rPr>
      <t>f</t>
    </r>
    <r>
      <rPr>
        <sz val="8"/>
        <rFont val="Arial"/>
        <family val="2"/>
      </rPr>
      <t>)</t>
    </r>
  </si>
  <si>
    <t>Betonstahl, bzw. Kurzzeit-Werte</t>
  </si>
  <si>
    <t>Betonstahl</t>
  </si>
  <si>
    <t>guter Verbund        ø32</t>
  </si>
  <si>
    <t>mäßiger Verbund ø8-ø25</t>
  </si>
  <si>
    <t>mäßiger Verbund ø32</t>
  </si>
  <si>
    <t>&gt;14 ds (18ds)</t>
  </si>
  <si>
    <r>
      <t xml:space="preserve">Bemessungswert  Kurzzeitzugfestigkeit f </t>
    </r>
    <r>
      <rPr>
        <vertAlign val="subscript"/>
        <sz val="10"/>
        <rFont val="Arial"/>
        <family val="2"/>
      </rPr>
      <t>fd</t>
    </r>
    <r>
      <rPr>
        <sz val="10"/>
        <rFont val="Arial"/>
        <family val="2"/>
      </rPr>
      <t>:</t>
    </r>
  </si>
  <si>
    <t>100 Jahre (Bügel)</t>
  </si>
  <si>
    <t>5 Jahre (Bügel)</t>
  </si>
  <si>
    <t>Ergebnisse für den oben gewählten Verbundbereich</t>
  </si>
  <si>
    <t>&gt;10 ds (14ds)</t>
  </si>
  <si>
    <t>Combar Kurzzeit-Werte (5 Jahre)</t>
  </si>
  <si>
    <t>ø32</t>
  </si>
  <si>
    <t>Schöck Combar®</t>
  </si>
  <si>
    <r>
      <t>Ermittlung der Mindestbewehrung von Schöck Combar</t>
    </r>
    <r>
      <rPr>
        <b/>
        <vertAlign val="superscript"/>
        <sz val="14"/>
        <rFont val="Arial"/>
        <family val="2"/>
      </rPr>
      <t>®</t>
    </r>
    <r>
      <rPr>
        <b/>
        <sz val="14"/>
        <rFont val="Arial"/>
        <family val="2"/>
      </rPr>
      <t xml:space="preserve">
</t>
    </r>
    <r>
      <rPr>
        <b/>
        <sz val="14"/>
        <color indexed="55"/>
        <rFont val="Arial"/>
        <family val="2"/>
      </rPr>
      <t>Gemäß AbZ Z-1.6-238</t>
    </r>
  </si>
  <si>
    <t>Combar®, gebogener Stab :</t>
  </si>
  <si>
    <t>Langzeit-Werte für Schöck Combar®</t>
  </si>
  <si>
    <r>
      <t>Verankerungs- und Übergreifungslängen von Schöck Combar</t>
    </r>
    <r>
      <rPr>
        <b/>
        <vertAlign val="superscript"/>
        <sz val="14"/>
        <rFont val="Arial"/>
        <family val="2"/>
      </rPr>
      <t>®</t>
    </r>
    <r>
      <rPr>
        <b/>
        <sz val="14"/>
        <rFont val="Arial"/>
        <family val="2"/>
      </rPr>
      <t xml:space="preserve">
</t>
    </r>
    <r>
      <rPr>
        <b/>
        <sz val="14"/>
        <color theme="0" tint="-0.34998626667073579"/>
        <rFont val="Arial"/>
        <family val="2"/>
      </rPr>
      <t>Gebogene Stäbe nach EC2</t>
    </r>
  </si>
  <si>
    <r>
      <t>f</t>
    </r>
    <r>
      <rPr>
        <vertAlign val="subscript"/>
        <sz val="10"/>
        <rFont val="Arial"/>
        <family val="2"/>
      </rPr>
      <t>bd</t>
    </r>
    <r>
      <rPr>
        <sz val="10"/>
        <rFont val="Arial"/>
        <family val="2"/>
      </rPr>
      <t xml:space="preserve"> [N/mm²] Combar</t>
    </r>
    <r>
      <rPr>
        <vertAlign val="superscript"/>
        <sz val="10"/>
        <rFont val="Arial"/>
        <family val="2"/>
      </rPr>
      <t>®</t>
    </r>
  </si>
  <si>
    <r>
      <t>Verankerungs- und Übergreifungslängen von Schöck Combar</t>
    </r>
    <r>
      <rPr>
        <b/>
        <vertAlign val="superscript"/>
        <sz val="14"/>
        <rFont val="Arial"/>
        <family val="2"/>
      </rPr>
      <t>®</t>
    </r>
    <r>
      <rPr>
        <b/>
        <sz val="14"/>
        <rFont val="Arial"/>
        <family val="2"/>
      </rPr>
      <t xml:space="preserve">
</t>
    </r>
    <r>
      <rPr>
        <b/>
        <sz val="14"/>
        <color theme="0" tint="-0.34998626667073579"/>
        <rFont val="Arial"/>
        <family val="2"/>
      </rPr>
      <t>Gerade Stäbe nach EC2 und AbZ Combar</t>
    </r>
    <r>
      <rPr>
        <b/>
        <vertAlign val="superscript"/>
        <sz val="14"/>
        <color theme="0" tint="-0.34998626667073579"/>
        <rFont val="Arial"/>
        <family val="2"/>
      </rPr>
      <t>®</t>
    </r>
  </si>
  <si>
    <t>Combar®, gerader Stab :</t>
  </si>
  <si>
    <r>
      <t>Langzeit-Werte für Schöck Combar</t>
    </r>
    <r>
      <rPr>
        <b/>
        <vertAlign val="superscript"/>
        <sz val="10"/>
        <rFont val="Arial"/>
        <family val="2"/>
      </rPr>
      <t>®</t>
    </r>
  </si>
  <si>
    <r>
      <t>Berechnung der Querkrafttragfähigkeit von Schöck Combar</t>
    </r>
    <r>
      <rPr>
        <b/>
        <vertAlign val="superscript"/>
        <sz val="14"/>
        <rFont val="Arial"/>
        <family val="2"/>
      </rPr>
      <t>®</t>
    </r>
    <r>
      <rPr>
        <b/>
        <sz val="14"/>
        <rFont val="Arial"/>
        <family val="2"/>
      </rPr>
      <t xml:space="preserve">
</t>
    </r>
    <r>
      <rPr>
        <b/>
        <sz val="14"/>
        <color theme="0" tint="-0.249977111117893"/>
        <rFont val="Arial"/>
        <family val="2"/>
      </rPr>
      <t>N</t>
    </r>
    <r>
      <rPr>
        <b/>
        <sz val="14"/>
        <color theme="0" tint="-0.34998626667073579"/>
        <rFont val="Arial"/>
        <family val="2"/>
      </rPr>
      <t>ach M. Kurth, J. Hegger (Bauingenieur Band 88, Oktober 2013)</t>
    </r>
  </si>
  <si>
    <r>
      <t>nach AbZ Combar</t>
    </r>
    <r>
      <rPr>
        <vertAlign val="superscript"/>
        <sz val="10"/>
        <rFont val="Arial"/>
        <family val="2"/>
      </rPr>
      <t>®</t>
    </r>
    <r>
      <rPr>
        <sz val="10"/>
        <rFont val="Arial"/>
        <family val="2"/>
      </rPr>
      <t>:</t>
    </r>
  </si>
  <si>
    <t>V 2.2 / April 2020: Hinzufügen vom Durchmesser 32 mm für gerade Stäbe</t>
  </si>
  <si>
    <r>
      <t>Ermittlung der Biegetragfähigkeit Schöck Combar</t>
    </r>
    <r>
      <rPr>
        <b/>
        <vertAlign val="superscript"/>
        <sz val="14"/>
        <rFont val="Arial"/>
        <family val="2"/>
      </rPr>
      <t>®</t>
    </r>
    <r>
      <rPr>
        <b/>
        <sz val="14"/>
        <rFont val="Arial"/>
        <family val="2"/>
      </rPr>
      <t xml:space="preserve">
</t>
    </r>
    <r>
      <rPr>
        <b/>
        <sz val="14"/>
        <color indexed="55"/>
        <rFont val="Arial"/>
        <family val="2"/>
      </rPr>
      <t>Gemäß AbZ Z-1.6-238</t>
    </r>
  </si>
  <si>
    <t>Anzahl Stäbe</t>
  </si>
  <si>
    <t>n</t>
  </si>
  <si>
    <t>Einwirkendes Moment</t>
  </si>
  <si>
    <r>
      <t>M</t>
    </r>
    <r>
      <rPr>
        <vertAlign val="subscript"/>
        <sz val="10"/>
        <rFont val="Arial"/>
        <family val="2"/>
      </rPr>
      <t>Ed</t>
    </r>
  </si>
  <si>
    <t>Einwirkende Normalkraft</t>
  </si>
  <si>
    <r>
      <t>N</t>
    </r>
    <r>
      <rPr>
        <vertAlign val="subscript"/>
        <sz val="10"/>
        <rFont val="Arial"/>
        <family val="2"/>
      </rPr>
      <t>Ed</t>
    </r>
  </si>
  <si>
    <t>[kN]</t>
  </si>
  <si>
    <r>
      <t>z</t>
    </r>
    <r>
      <rPr>
        <vertAlign val="subscript"/>
        <sz val="10"/>
        <rFont val="Arial"/>
        <family val="2"/>
      </rPr>
      <t>s1</t>
    </r>
  </si>
  <si>
    <r>
      <t>= h/2 - c</t>
    </r>
    <r>
      <rPr>
        <vertAlign val="subscript"/>
        <sz val="10"/>
        <rFont val="Arial"/>
        <family val="2"/>
      </rPr>
      <t>v</t>
    </r>
    <r>
      <rPr>
        <sz val="10"/>
        <rFont val="Arial"/>
        <family val="2"/>
      </rPr>
      <t xml:space="preserve"> - d</t>
    </r>
    <r>
      <rPr>
        <vertAlign val="subscript"/>
        <sz val="10"/>
        <rFont val="Arial"/>
        <family val="2"/>
      </rPr>
      <t>f</t>
    </r>
  </si>
  <si>
    <t>Bemessungsmoment</t>
  </si>
  <si>
    <r>
      <t>M</t>
    </r>
    <r>
      <rPr>
        <vertAlign val="subscript"/>
        <sz val="10"/>
        <rFont val="Arial"/>
        <family val="2"/>
      </rPr>
      <t>Ed1</t>
    </r>
  </si>
  <si>
    <t>Bezogenes Moment</t>
  </si>
  <si>
    <r>
      <t>0,4 &lt; µ</t>
    </r>
    <r>
      <rPr>
        <vertAlign val="subscript"/>
        <sz val="10"/>
        <rFont val="Arial"/>
        <family val="2"/>
      </rPr>
      <t>Ed1</t>
    </r>
    <r>
      <rPr>
        <sz val="10"/>
        <rFont val="Arial"/>
        <family val="2"/>
      </rPr>
      <t xml:space="preserve"> &gt; 0,001 </t>
    </r>
  </si>
  <si>
    <t>Omega</t>
  </si>
  <si>
    <r>
      <t>ω</t>
    </r>
    <r>
      <rPr>
        <vertAlign val="subscript"/>
        <sz val="10"/>
        <color rgb="FF4D5156"/>
        <rFont val="Arial"/>
        <family val="2"/>
      </rPr>
      <t>1</t>
    </r>
  </si>
  <si>
    <t>Erforderliche Längsbewehrung</t>
  </si>
  <si>
    <r>
      <t>erf. A</t>
    </r>
    <r>
      <rPr>
        <b/>
        <vertAlign val="subscript"/>
        <sz val="10"/>
        <rFont val="Arial"/>
        <family val="2"/>
      </rPr>
      <t>s</t>
    </r>
    <r>
      <rPr>
        <b/>
        <sz val="10"/>
        <rFont val="Arial"/>
        <family val="2"/>
      </rPr>
      <t xml:space="preserve">  =</t>
    </r>
  </si>
  <si>
    <r>
      <t>vorh. A</t>
    </r>
    <r>
      <rPr>
        <b/>
        <vertAlign val="subscript"/>
        <sz val="10"/>
        <rFont val="Arial"/>
        <family val="2"/>
      </rPr>
      <t>s</t>
    </r>
    <r>
      <rPr>
        <b/>
        <sz val="10"/>
        <rFont val="Arial"/>
        <family val="2"/>
      </rPr>
      <t xml:space="preserve">  =</t>
    </r>
  </si>
  <si>
    <t>ω-Tafel für die Bemessung im GZT</t>
  </si>
  <si>
    <r>
      <rPr>
        <vertAlign val="superscript"/>
        <sz val="10"/>
        <rFont val="Symbol"/>
        <family val="1"/>
      </rPr>
      <t></t>
    </r>
    <r>
      <rPr>
        <sz val="7"/>
        <rFont val="Calibri"/>
        <family val="2"/>
      </rPr>
      <t>Ed1</t>
    </r>
  </si>
  <si>
    <r>
      <rPr>
        <sz val="10"/>
        <rFont val="Symbol"/>
        <family val="1"/>
      </rPr>
      <t></t>
    </r>
    <r>
      <rPr>
        <vertAlign val="subscript"/>
        <sz val="7"/>
        <rFont val="Calibri"/>
        <family val="2"/>
      </rPr>
      <t>1</t>
    </r>
  </si>
  <si>
    <r>
      <rPr>
        <sz val="10"/>
        <rFont val="Symbol"/>
        <family val="1"/>
      </rPr>
      <t></t>
    </r>
  </si>
  <si>
    <r>
      <rPr>
        <sz val="10"/>
        <rFont val="Symbol"/>
        <family val="1"/>
      </rPr>
      <t></t>
    </r>
  </si>
  <si>
    <r>
      <rPr>
        <vertAlign val="superscript"/>
        <sz val="10"/>
        <rFont val="Symbol"/>
        <family val="1"/>
      </rPr>
      <t></t>
    </r>
    <r>
      <rPr>
        <sz val="7"/>
        <rFont val="Calibri"/>
        <family val="2"/>
      </rPr>
      <t xml:space="preserve">c2 </t>
    </r>
    <r>
      <rPr>
        <vertAlign val="superscript"/>
        <sz val="10"/>
        <rFont val="Calibri"/>
        <family val="2"/>
      </rPr>
      <t>‰</t>
    </r>
  </si>
  <si>
    <r>
      <rPr>
        <sz val="10"/>
        <rFont val="Symbol"/>
        <family val="1"/>
      </rPr>
      <t></t>
    </r>
    <r>
      <rPr>
        <vertAlign val="subscript"/>
        <sz val="7"/>
        <rFont val="Calibri"/>
        <family val="2"/>
      </rPr>
      <t xml:space="preserve">s1 </t>
    </r>
    <r>
      <rPr>
        <sz val="10"/>
        <rFont val="Calibri"/>
        <family val="2"/>
      </rPr>
      <t>‰</t>
    </r>
  </si>
  <si>
    <r>
      <rPr>
        <sz val="10"/>
        <rFont val="Calibri"/>
        <family val="2"/>
      </rPr>
      <t>f</t>
    </r>
    <r>
      <rPr>
        <vertAlign val="subscript"/>
        <sz val="10"/>
        <rFont val="Calibri"/>
        <family val="2"/>
      </rPr>
      <t>yd</t>
    </r>
    <r>
      <rPr>
        <sz val="10"/>
        <rFont val="Calibri"/>
        <family val="2"/>
      </rPr>
      <t xml:space="preserve"> N/mm</t>
    </r>
    <r>
      <rPr>
        <sz val="6"/>
        <rFont val="Calibri"/>
        <family val="2"/>
      </rPr>
      <t>2</t>
    </r>
  </si>
  <si>
    <t>Mü1</t>
  </si>
  <si>
    <t>Mü2 ist ... Von Mü1</t>
  </si>
  <si>
    <t>Mü2</t>
  </si>
  <si>
    <t>w1</t>
  </si>
  <si>
    <t>w2</t>
  </si>
  <si>
    <t>unteres w1</t>
  </si>
  <si>
    <t>oberes w1</t>
  </si>
  <si>
    <t xml:space="preserve">                          Kontrolle von w mit sverweis(WAHR):</t>
  </si>
  <si>
    <t>w1 am nächsten</t>
  </si>
  <si>
    <t>[cm²]</t>
  </si>
  <si>
    <t>Material</t>
  </si>
  <si>
    <t>Zeit</t>
  </si>
  <si>
    <t>Combar</t>
  </si>
  <si>
    <t>BSt</t>
  </si>
  <si>
    <r>
      <t xml:space="preserve">E </t>
    </r>
    <r>
      <rPr>
        <vertAlign val="subscript"/>
        <sz val="10"/>
        <rFont val="Arial"/>
        <family val="2"/>
      </rPr>
      <t>s</t>
    </r>
    <r>
      <rPr>
        <sz val="10"/>
        <rFont val="Arial"/>
        <family val="2"/>
      </rPr>
      <t>:</t>
    </r>
  </si>
  <si>
    <r>
      <t>Ø</t>
    </r>
    <r>
      <rPr>
        <vertAlign val="subscript"/>
        <sz val="10"/>
        <rFont val="Arial"/>
        <family val="2"/>
      </rPr>
      <t>combar</t>
    </r>
  </si>
  <si>
    <r>
      <t>Ø</t>
    </r>
    <r>
      <rPr>
        <vertAlign val="subscript"/>
        <sz val="10"/>
        <rFont val="Arial"/>
        <family val="2"/>
      </rPr>
      <t>BSt</t>
    </r>
  </si>
  <si>
    <t>Combar Bügel</t>
  </si>
  <si>
    <t>NR BSt Bügel</t>
  </si>
  <si>
    <r>
      <t>V</t>
    </r>
    <r>
      <rPr>
        <vertAlign val="subscript"/>
        <sz val="12"/>
        <rFont val="Arial"/>
        <family val="2"/>
      </rPr>
      <t>Ed</t>
    </r>
    <r>
      <rPr>
        <sz val="12"/>
        <rFont val="Arial"/>
        <family val="2"/>
      </rPr>
      <t xml:space="preserve"> =</t>
    </r>
  </si>
  <si>
    <t>≥</t>
  </si>
  <si>
    <r>
      <t>Ermittlung der Rissbreitenbewehrung von Schöck Combar</t>
    </r>
    <r>
      <rPr>
        <b/>
        <vertAlign val="superscript"/>
        <sz val="14"/>
        <rFont val="Arial"/>
        <family val="2"/>
      </rPr>
      <t>®</t>
    </r>
    <r>
      <rPr>
        <b/>
        <sz val="14"/>
        <rFont val="Arial"/>
        <family val="2"/>
      </rPr>
      <t xml:space="preserve">
</t>
    </r>
    <r>
      <rPr>
        <b/>
        <sz val="14"/>
        <color indexed="55"/>
        <rFont val="Arial"/>
        <family val="2"/>
      </rPr>
      <t>Durch näherungsweise Umrechnung von BSt-Rissbreitenbewehrung</t>
    </r>
  </si>
  <si>
    <r>
      <t>A</t>
    </r>
    <r>
      <rPr>
        <vertAlign val="subscript"/>
        <sz val="10"/>
        <rFont val="Arial"/>
        <family val="2"/>
      </rPr>
      <t>BSt</t>
    </r>
  </si>
  <si>
    <t>Erforderliche Rissbreitenbewehrung</t>
  </si>
  <si>
    <t>Durchmesser</t>
  </si>
  <si>
    <r>
      <t>Ø</t>
    </r>
    <r>
      <rPr>
        <vertAlign val="subscript"/>
        <sz val="10"/>
        <rFont val="Arial"/>
        <family val="2"/>
      </rPr>
      <t>BSt</t>
    </r>
  </si>
  <si>
    <t>E-Modul</t>
  </si>
  <si>
    <r>
      <t>E</t>
    </r>
    <r>
      <rPr>
        <vertAlign val="subscript"/>
        <sz val="10"/>
        <rFont val="Arial"/>
        <family val="2"/>
      </rPr>
      <t>BSt</t>
    </r>
  </si>
  <si>
    <r>
      <t>E</t>
    </r>
    <r>
      <rPr>
        <vertAlign val="subscript"/>
        <sz val="10"/>
        <rFont val="Arial"/>
        <family val="2"/>
      </rPr>
      <t>Combar</t>
    </r>
  </si>
  <si>
    <r>
      <t>Ø</t>
    </r>
    <r>
      <rPr>
        <vertAlign val="subscript"/>
        <sz val="10"/>
        <rFont val="Arial"/>
        <family val="2"/>
      </rPr>
      <t>Combar</t>
    </r>
  </si>
  <si>
    <t>[cm²/m]</t>
  </si>
  <si>
    <t>Umrechnungsfaktor BSt - Combar</t>
  </si>
  <si>
    <t>-</t>
  </si>
  <si>
    <r>
      <t>A</t>
    </r>
    <r>
      <rPr>
        <vertAlign val="subscript"/>
        <sz val="10"/>
        <rFont val="Arial"/>
        <family val="2"/>
      </rPr>
      <t>Combar</t>
    </r>
  </si>
  <si>
    <t>Rissbreite</t>
  </si>
  <si>
    <r>
      <t>w</t>
    </r>
    <r>
      <rPr>
        <vertAlign val="subscript"/>
        <sz val="10"/>
        <rFont val="Arial"/>
        <family val="2"/>
      </rPr>
      <t>k,BSt</t>
    </r>
  </si>
  <si>
    <r>
      <t>w</t>
    </r>
    <r>
      <rPr>
        <vertAlign val="subscript"/>
        <sz val="10"/>
        <rFont val="Arial"/>
        <family val="2"/>
      </rPr>
      <t>k,Combar</t>
    </r>
  </si>
  <si>
    <t>Betondeckung bis Biegebewehrung</t>
  </si>
  <si>
    <t>Durchmesser Biegebewehrung</t>
  </si>
  <si>
    <r>
      <t xml:space="preserve">Bemerkungen:
</t>
    </r>
    <r>
      <rPr>
        <sz val="10"/>
        <rFont val="Arial"/>
        <family val="2"/>
      </rPr>
      <t>Combar®-Stäbe rosten nicht. Eine Begrenzung der Rissbreiten zum Schutz der Bewehrung ist nicht erforderlich. Die AbZ Combar® begrenzt die Rissbreite quer zum Stab w</t>
    </r>
    <r>
      <rPr>
        <vertAlign val="subscript"/>
        <sz val="10"/>
        <rFont val="Arial"/>
        <family val="2"/>
      </rPr>
      <t>k,⊥</t>
    </r>
    <r>
      <rPr>
        <sz val="10"/>
        <rFont val="Arial"/>
        <family val="2"/>
      </rPr>
      <t xml:space="preserve"> quer ≤ 0,4 mm und parallel zum Stab w</t>
    </r>
    <r>
      <rPr>
        <vertAlign val="subscript"/>
        <sz val="10"/>
        <rFont val="Arial"/>
        <family val="2"/>
      </rPr>
      <t>k,II</t>
    </r>
    <r>
      <rPr>
        <sz val="10"/>
        <rFont val="Arial"/>
        <family val="2"/>
      </rPr>
      <t xml:space="preserve"> ≤ 0,2 mm (nur im Bereich von Verankerungen).
Eine reine Rissbewehrung aus BSt 500 kann mit den genannten Formeln näherungsweise auf eine Combar®-Bewehrung umgerechnet werden. Wie bei Betonstahl
verhält sich der Gesamtschlupf am Stabende in einem Verbundversuch quadratisch zur aufgebrachten Spannung σ. Außerdem ist die Rissbreite w</t>
    </r>
    <r>
      <rPr>
        <vertAlign val="subscript"/>
        <sz val="10"/>
        <rFont val="Arial"/>
        <family val="2"/>
      </rPr>
      <t>k</t>
    </r>
    <r>
      <rPr>
        <sz val="10"/>
        <rFont val="Arial"/>
        <family val="2"/>
      </rPr>
      <t xml:space="preserve"> proportional zum E-Modul des Bewehrungsstabes und zum Stabdurchmesser ⌀. 
Das exakte Verfahren zur Bestimmung der Rissbreite erfolgt entsprechend DIN EN 1992-1-1, Abschnitt 7.3.4 
mit leichten Änderungen nach der Combar Zulassung Z.-1.6-238.</t>
    </r>
  </si>
  <si>
    <t>V 2.3 / Februar 2023: Hinzufügen von Rissbreitenbewehrung, Biegetragfähigkeit und Edelstahlbügel bei Querkrafttragfähigkeit</t>
  </si>
  <si>
    <t>Umberechnung der Rissbreitenbewehrung</t>
  </si>
  <si>
    <t>Berechnung der Biegetragfähigkeit</t>
  </si>
  <si>
    <t>Bemessungshilfe Schöck Combar®  V 2.3 / Februar 2023
Inhalt und Hinweise</t>
  </si>
  <si>
    <t>Diese Bemessungshilfe dient als Ergänzung zur Bemessungssoftware FRILO B2, in der Schöck Combar® implementiert ist.</t>
  </si>
  <si>
    <t>Weitere Informationen zur Bemessungssoftware FRILO B2 erhalten Sie unter www.schoeck.com/de/schoeck-integration-frilo und www.frilo.eu/produkte/stahlbetonbemessung.</t>
  </si>
  <si>
    <t>Tellistrasse 90</t>
  </si>
  <si>
    <t>CH-5000 Aarau</t>
  </si>
  <si>
    <t>+41 62 834 00 10</t>
  </si>
  <si>
    <t>https://www.schoeck.com/de-ch/combar</t>
  </si>
  <si>
    <t>info-ch@schoeck.com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</si>
</sst>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000"/>
    <numFmt numFmtId="165" formatCode="0.0"/>
    <numFmt numFmtId="166" formatCode="0.0%"/>
    <numFmt numFmtId="167" formatCode="#,##0\ &quot;N/mm²&quot;"/>
    <numFmt numFmtId="168" formatCode="#,##0\ &quot;mm&quot;"/>
    <numFmt numFmtId="169" formatCode="#,##0\ &quot;mm²&quot;"/>
    <numFmt numFmtId="170" formatCode="#,##0.0\ &quot;kN&quot;"/>
    <numFmt numFmtId="171" formatCode="#,##0.0\ &quot;kNm&quot;"/>
    <numFmt numFmtId="172" formatCode="#,##0.0\ &quot;°&quot;"/>
    <numFmt numFmtId="173" formatCode="#,##0.0\ &quot;‰&quot;"/>
    <numFmt numFmtId="174" formatCode="#,##0.00\ &quot;MN/m²&quot;"/>
    <numFmt numFmtId="175" formatCode="#,###\ &quot;kN&quot;"/>
    <numFmt numFmtId="176" formatCode="0.00000000"/>
    <numFmt numFmtId="177" formatCode="0.000"/>
    <numFmt numFmtId="178" formatCode="_-* #,##0_-;\-* #,##0_-;_-* &quot;-&quot;??_-;_-@_-"/>
    <numFmt numFmtId="179" formatCode="#,##0\ &quot;mm²/m&quot;"/>
  </numFmts>
  <fonts count="67">
    <font>
      <sz val="10"/>
      <name val="Arial"/>
    </font>
    <font>
      <sz val="10"/>
      <name val="Symbol"/>
      <family val="1"/>
      <charset val="2"/>
    </font>
    <font>
      <sz val="10"/>
      <name val="Arial"/>
      <family val="2"/>
    </font>
    <font>
      <b/>
      <sz val="10"/>
      <name val="Arial"/>
      <family val="2"/>
    </font>
    <font>
      <b/>
      <vertAlign val="subscript"/>
      <sz val="10"/>
      <name val="Arial"/>
      <family val="2"/>
    </font>
    <font>
      <u/>
      <sz val="10"/>
      <name val="Arial"/>
      <family val="2"/>
    </font>
    <font>
      <vertAlign val="subscript"/>
      <sz val="10"/>
      <name val="Arial"/>
      <family val="2"/>
    </font>
    <font>
      <b/>
      <sz val="9"/>
      <color indexed="81"/>
      <name val="Tahoma"/>
      <family val="2"/>
    </font>
    <font>
      <b/>
      <sz val="12"/>
      <name val="Arial"/>
      <family val="2"/>
    </font>
    <font>
      <b/>
      <vertAlign val="subscript"/>
      <sz val="12"/>
      <name val="Arial"/>
      <family val="2"/>
    </font>
    <font>
      <sz val="12"/>
      <name val="Arial"/>
      <family val="2"/>
    </font>
    <font>
      <sz val="10"/>
      <name val="Calibri"/>
      <family val="2"/>
    </font>
    <font>
      <b/>
      <sz val="10"/>
      <name val="Symbol"/>
      <family val="1"/>
      <charset val="2"/>
    </font>
    <font>
      <sz val="9"/>
      <name val="Arial"/>
      <family val="2"/>
    </font>
    <font>
      <u/>
      <sz val="10"/>
      <color theme="10"/>
      <name val="Arial"/>
      <family val="2"/>
    </font>
    <font>
      <u/>
      <sz val="10"/>
      <color theme="11"/>
      <name val="Arial"/>
      <family val="2"/>
    </font>
    <font>
      <b/>
      <sz val="14"/>
      <name val="Arial"/>
      <family val="2"/>
    </font>
    <font>
      <sz val="10"/>
      <color theme="0" tint="-0.499984740745262"/>
      <name val="Arial"/>
      <family val="2"/>
    </font>
    <font>
      <sz val="10"/>
      <color theme="0"/>
      <name val="Arial"/>
      <family val="2"/>
    </font>
    <font>
      <b/>
      <sz val="14"/>
      <name val="Arial"/>
      <family val="2"/>
    </font>
    <font>
      <b/>
      <sz val="14"/>
      <color theme="0" tint="-0.34998626667073579"/>
      <name val="Arial"/>
      <family val="2"/>
    </font>
    <font>
      <b/>
      <vertAlign val="superscript"/>
      <sz val="14"/>
      <name val="Arial"/>
      <family val="2"/>
    </font>
    <font>
      <sz val="11"/>
      <color rgb="FF006100"/>
      <name val="Calibri"/>
      <family val="2"/>
      <scheme val="minor"/>
    </font>
    <font>
      <sz val="8"/>
      <name val="Arial"/>
      <family val="2"/>
    </font>
    <font>
      <b/>
      <sz val="14"/>
      <color theme="0" tint="-0.249977111117893"/>
      <name val="Arial"/>
      <family val="2"/>
    </font>
    <font>
      <sz val="12"/>
      <color theme="1"/>
      <name val="Arial"/>
      <family val="2"/>
    </font>
    <font>
      <b/>
      <sz val="14"/>
      <color indexed="55"/>
      <name val="Arial"/>
      <family val="2"/>
    </font>
    <font>
      <sz val="10"/>
      <color theme="1"/>
      <name val="Arial"/>
      <family val="2"/>
    </font>
    <font>
      <b/>
      <sz val="12"/>
      <color theme="1"/>
      <name val="Arial"/>
      <family val="2"/>
    </font>
    <font>
      <b/>
      <sz val="10"/>
      <color theme="1"/>
      <name val="Arial"/>
      <family val="2"/>
    </font>
    <font>
      <sz val="10"/>
      <name val="GreekC"/>
    </font>
    <font>
      <sz val="12"/>
      <name val="Calibri"/>
      <family val="2"/>
    </font>
    <font>
      <b/>
      <sz val="12"/>
      <name val="Cambria"/>
      <family val="1"/>
      <scheme val="major"/>
    </font>
    <font>
      <b/>
      <sz val="12"/>
      <name val="Symbol"/>
      <family val="1"/>
      <charset val="2"/>
    </font>
    <font>
      <sz val="12"/>
      <name val="GreekC"/>
    </font>
    <font>
      <sz val="10"/>
      <color indexed="12"/>
      <name val="Arial"/>
      <family val="2"/>
    </font>
    <font>
      <vertAlign val="subscript"/>
      <sz val="8"/>
      <name val="Arial"/>
      <family val="2"/>
    </font>
    <font>
      <sz val="11"/>
      <name val="Arial"/>
      <family val="2"/>
    </font>
    <font>
      <vertAlign val="subscript"/>
      <sz val="12"/>
      <name val="Arial"/>
      <family val="2"/>
    </font>
    <font>
      <vertAlign val="subscript"/>
      <sz val="10"/>
      <name val="Symbol"/>
      <family val="1"/>
      <charset val="2"/>
    </font>
    <font>
      <b/>
      <sz val="8"/>
      <name val="Arial"/>
      <family val="2"/>
    </font>
    <font>
      <b/>
      <sz val="12"/>
      <color indexed="12"/>
      <name val="Arial"/>
      <family val="2"/>
    </font>
    <font>
      <sz val="12"/>
      <name val="Symbol"/>
      <family val="1"/>
      <charset val="2"/>
    </font>
    <font>
      <sz val="10"/>
      <color indexed="10"/>
      <name val="Arial"/>
      <family val="2"/>
    </font>
    <font>
      <sz val="14"/>
      <name val="Arial"/>
      <family val="2"/>
    </font>
    <font>
      <sz val="8"/>
      <color indexed="81"/>
      <name val="Tahoma"/>
      <family val="2"/>
    </font>
    <font>
      <sz val="9"/>
      <color indexed="81"/>
      <name val="Tahoma"/>
      <family val="2"/>
    </font>
    <font>
      <vertAlign val="superscript"/>
      <sz val="10"/>
      <name val="Arial"/>
      <family val="2"/>
    </font>
    <font>
      <b/>
      <vertAlign val="superscript"/>
      <sz val="10"/>
      <name val="Arial"/>
      <family val="2"/>
    </font>
    <font>
      <b/>
      <vertAlign val="superscript"/>
      <sz val="14"/>
      <color theme="0" tint="-0.34998626667073579"/>
      <name val="Arial"/>
      <family val="2"/>
    </font>
    <font>
      <sz val="10"/>
      <name val="Arial"/>
    </font>
    <font>
      <sz val="10"/>
      <color rgb="FF4D5156"/>
      <name val="Arial"/>
      <family val="2"/>
    </font>
    <font>
      <vertAlign val="subscript"/>
      <sz val="10"/>
      <color rgb="FF4D5156"/>
      <name val="Arial"/>
      <family val="2"/>
    </font>
    <font>
      <b/>
      <sz val="15"/>
      <color rgb="FFFF0000"/>
      <name val="Arial"/>
      <family val="2"/>
    </font>
    <font>
      <vertAlign val="superscript"/>
      <sz val="10"/>
      <name val="Symbol"/>
      <family val="1"/>
    </font>
    <font>
      <sz val="7"/>
      <name val="Calibri"/>
      <family val="2"/>
    </font>
    <font>
      <sz val="10"/>
      <name val="Symbol"/>
      <family val="1"/>
    </font>
    <font>
      <vertAlign val="subscript"/>
      <sz val="7"/>
      <name val="Calibri"/>
      <family val="2"/>
    </font>
    <font>
      <vertAlign val="superscript"/>
      <sz val="10"/>
      <name val="Calibri"/>
      <family val="2"/>
    </font>
    <font>
      <vertAlign val="subscript"/>
      <sz val="10"/>
      <name val="Calibri"/>
      <family val="2"/>
    </font>
    <font>
      <sz val="6"/>
      <name val="Calibri"/>
      <family val="2"/>
    </font>
    <font>
      <sz val="9"/>
      <color rgb="FF000000"/>
      <name val="Calibri"/>
      <family val="2"/>
    </font>
    <font>
      <sz val="8"/>
      <color theme="0"/>
      <name val="Arial"/>
      <family val="2"/>
    </font>
    <font>
      <b/>
      <sz val="10"/>
      <color theme="0"/>
      <name val="Arial"/>
      <family val="2"/>
    </font>
    <font>
      <sz val="11"/>
      <color rgb="FF202124"/>
      <name val="Arial"/>
      <family val="2"/>
    </font>
    <font>
      <b/>
      <sz val="10"/>
      <color rgb="FF00B050"/>
      <name val="Arial"/>
      <family val="2"/>
    </font>
    <font>
      <sz val="11"/>
      <name val="Calibri"/>
      <family val="2"/>
    </font>
  </fonts>
  <fills count="9">
    <fill>
      <patternFill patternType="none"/>
    </fill>
    <fill>
      <patternFill patternType="gray125"/>
    </fill>
    <fill>
      <patternFill patternType="solid">
        <fgColor theme="0" tint="-0.14999847407452621"/>
        <bgColor indexed="64"/>
      </patternFill>
    </fill>
    <fill>
      <patternFill patternType="solid">
        <fgColor rgb="FFE6F0F7"/>
        <bgColor indexed="64"/>
      </patternFill>
    </fill>
    <fill>
      <patternFill patternType="solid">
        <fgColor rgb="FFD9D9D9"/>
        <bgColor indexed="64"/>
      </patternFill>
    </fill>
    <fill>
      <patternFill patternType="solid">
        <fgColor rgb="FFC6EFCE"/>
      </patternFill>
    </fill>
    <fill>
      <patternFill patternType="solid">
        <fgColor theme="0"/>
        <bgColor indexed="64"/>
      </patternFill>
    </fill>
    <fill>
      <patternFill patternType="solid">
        <fgColor theme="4" tint="0.79998168889431442"/>
        <bgColor indexed="64"/>
      </patternFill>
    </fill>
    <fill>
      <patternFill patternType="solid">
        <fgColor rgb="FFDCE6F1"/>
        <bgColor indexed="64"/>
      </patternFill>
    </fill>
  </fills>
  <borders count="38">
    <border>
      <left/>
      <right/>
      <top/>
      <bottom/>
      <diagonal/>
    </border>
    <border>
      <left style="thin">
        <color auto="1"/>
      </left>
      <right style="thin">
        <color auto="1"/>
      </right>
      <top style="thin">
        <color auto="1"/>
      </top>
      <bottom style="thin">
        <color auto="1"/>
      </bottom>
      <diagonal/>
    </border>
    <border>
      <left/>
      <right/>
      <top/>
      <bottom style="hair">
        <color auto="1"/>
      </bottom>
      <diagonal/>
    </border>
    <border>
      <left/>
      <right/>
      <top style="hair">
        <color auto="1"/>
      </top>
      <bottom style="hair">
        <color auto="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1"/>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theme="0" tint="-0.34998626667073579"/>
      </top>
      <bottom/>
      <diagonal/>
    </border>
    <border>
      <left/>
      <right style="thin">
        <color indexed="64"/>
      </right>
      <top style="thin">
        <color theme="0" tint="-0.34998626667073579"/>
      </top>
      <bottom/>
      <diagonal/>
    </border>
    <border>
      <left style="thin">
        <color indexed="64"/>
      </left>
      <right/>
      <top/>
      <bottom/>
      <diagonal/>
    </border>
    <border>
      <left/>
      <right style="thin">
        <color indexed="64"/>
      </right>
      <top/>
      <bottom/>
      <diagonal/>
    </border>
    <border>
      <left/>
      <right style="thin">
        <color indexed="64"/>
      </right>
      <top/>
      <bottom style="hair">
        <color auto="1"/>
      </bottom>
      <diagonal/>
    </border>
    <border>
      <left/>
      <right/>
      <top/>
      <bottom style="thin">
        <color indexed="64"/>
      </bottom>
      <diagonal/>
    </border>
    <border>
      <left style="thin">
        <color theme="0" tint="-0.34998626667073579"/>
      </left>
      <right/>
      <top style="thin">
        <color theme="0" tint="-0.34998626667073579"/>
      </top>
      <bottom style="thin">
        <color auto="1"/>
      </bottom>
      <diagonal/>
    </border>
    <border>
      <left/>
      <right/>
      <top style="thin">
        <color theme="0" tint="-0.34998626667073579"/>
      </top>
      <bottom style="thin">
        <color auto="1"/>
      </bottom>
      <diagonal/>
    </border>
    <border>
      <left/>
      <right style="thin">
        <color theme="0" tint="-0.34998626667073579"/>
      </right>
      <top style="thin">
        <color theme="0" tint="-0.34998626667073579"/>
      </top>
      <bottom style="thin">
        <color auto="1"/>
      </bottom>
      <diagonal/>
    </border>
  </borders>
  <cellStyleXfs count="13">
    <xf numFmtId="0" fontId="0" fillId="0" borderId="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22" fillId="5" borderId="0" applyNumberFormat="0" applyBorder="0" applyAlignment="0" applyProtection="0"/>
    <xf numFmtId="0" fontId="2" fillId="0" borderId="0"/>
    <xf numFmtId="0" fontId="10" fillId="0" borderId="0"/>
    <xf numFmtId="43" fontId="50" fillId="0" borderId="0" applyFont="0" applyFill="0" applyBorder="0" applyAlignment="0" applyProtection="0"/>
  </cellStyleXfs>
  <cellXfs count="332">
    <xf numFmtId="0" fontId="0" fillId="0" borderId="0" xfId="0"/>
    <xf numFmtId="0" fontId="0" fillId="0" borderId="0" xfId="0" applyAlignment="1">
      <alignment vertical="center"/>
    </xf>
    <xf numFmtId="0" fontId="2" fillId="0" borderId="0" xfId="0" applyFont="1" applyAlignment="1">
      <alignment vertical="center"/>
    </xf>
    <xf numFmtId="167" fontId="0" fillId="0" borderId="0" xfId="0" applyNumberFormat="1" applyAlignment="1">
      <alignment vertical="center"/>
    </xf>
    <xf numFmtId="0" fontId="0" fillId="0" borderId="0" xfId="0" applyAlignment="1">
      <alignment horizontal="left" vertical="center"/>
    </xf>
    <xf numFmtId="167" fontId="0" fillId="0" borderId="0" xfId="0" applyNumberFormat="1" applyAlignment="1">
      <alignment horizontal="left" vertical="center"/>
    </xf>
    <xf numFmtId="0" fontId="2" fillId="0" borderId="0" xfId="0" applyFont="1" applyAlignment="1">
      <alignment horizontal="left" vertical="center"/>
    </xf>
    <xf numFmtId="0" fontId="0" fillId="0" borderId="0" xfId="0" applyAlignment="1">
      <alignment horizontal="center" vertical="center"/>
    </xf>
    <xf numFmtId="0" fontId="2" fillId="0" borderId="0" xfId="0" quotePrefix="1" applyFont="1" applyAlignment="1">
      <alignment vertical="center"/>
    </xf>
    <xf numFmtId="0" fontId="0" fillId="0" borderId="0" xfId="0" quotePrefix="1" applyAlignment="1">
      <alignment vertical="center"/>
    </xf>
    <xf numFmtId="0" fontId="3" fillId="0" borderId="0" xfId="0" applyFont="1" applyAlignment="1">
      <alignment vertical="center"/>
    </xf>
    <xf numFmtId="170" fontId="8" fillId="0" borderId="1" xfId="0" applyNumberFormat="1" applyFont="1" applyBorder="1" applyAlignment="1">
      <alignment horizontal="center" vertical="center"/>
    </xf>
    <xf numFmtId="0" fontId="2" fillId="0" borderId="0" xfId="0" applyFont="1" applyAlignment="1">
      <alignment horizontal="left" vertical="center" indent="1"/>
    </xf>
    <xf numFmtId="0" fontId="3" fillId="2" borderId="0" xfId="0" applyFont="1" applyFill="1" applyAlignment="1">
      <alignment vertical="center"/>
    </xf>
    <xf numFmtId="0" fontId="0" fillId="2" borderId="0" xfId="0" applyFill="1" applyAlignment="1">
      <alignment vertical="center"/>
    </xf>
    <xf numFmtId="0" fontId="17" fillId="0" borderId="0" xfId="0" applyFont="1" applyAlignment="1">
      <alignment vertical="center"/>
    </xf>
    <xf numFmtId="173" fontId="0" fillId="0" borderId="4" xfId="0" applyNumberFormat="1" applyBorder="1" applyAlignment="1">
      <alignment horizontal="center" vertical="center"/>
    </xf>
    <xf numFmtId="171" fontId="0" fillId="3" borderId="0" xfId="0" applyNumberFormat="1" applyFill="1" applyAlignment="1" applyProtection="1">
      <alignment horizontal="center" vertical="center"/>
      <protection locked="0"/>
    </xf>
    <xf numFmtId="168" fontId="0" fillId="3" borderId="0" xfId="0" applyNumberFormat="1" applyFill="1" applyAlignment="1" applyProtection="1">
      <alignment horizontal="center" vertical="center"/>
      <protection locked="0"/>
    </xf>
    <xf numFmtId="0" fontId="0" fillId="3" borderId="0" xfId="0" applyFill="1" applyAlignment="1" applyProtection="1">
      <alignment horizontal="center" vertical="center"/>
      <protection locked="0"/>
    </xf>
    <xf numFmtId="0" fontId="2" fillId="3" borderId="0" xfId="0" applyFont="1" applyFill="1" applyAlignment="1" applyProtection="1">
      <alignment horizontal="center" vertical="center"/>
      <protection locked="0"/>
    </xf>
    <xf numFmtId="165" fontId="0" fillId="3" borderId="0" xfId="0" applyNumberFormat="1" applyFill="1" applyAlignment="1" applyProtection="1">
      <alignment horizontal="center" vertical="center"/>
      <protection locked="0"/>
    </xf>
    <xf numFmtId="167" fontId="0" fillId="3" borderId="0" xfId="0" applyNumberFormat="1" applyFill="1" applyAlignment="1" applyProtection="1">
      <alignment horizontal="center" vertical="center"/>
      <protection locked="0"/>
    </xf>
    <xf numFmtId="170" fontId="0" fillId="3" borderId="0" xfId="0" applyNumberFormat="1" applyFill="1" applyAlignment="1" applyProtection="1">
      <alignment horizontal="center" vertical="center"/>
      <protection locked="0"/>
    </xf>
    <xf numFmtId="0" fontId="2" fillId="0" borderId="0" xfId="0" applyFont="1" applyAlignment="1">
      <alignment horizontal="right" vertical="center"/>
    </xf>
    <xf numFmtId="0" fontId="2" fillId="0" borderId="0" xfId="10"/>
    <xf numFmtId="0" fontId="25" fillId="0" borderId="0" xfId="10" applyFont="1"/>
    <xf numFmtId="0" fontId="3" fillId="2" borderId="0" xfId="10" applyFont="1" applyFill="1" applyAlignment="1">
      <alignment vertical="center"/>
    </xf>
    <xf numFmtId="0" fontId="2" fillId="2" borderId="0" xfId="10" applyFill="1" applyAlignment="1">
      <alignment vertical="center"/>
    </xf>
    <xf numFmtId="0" fontId="2" fillId="0" borderId="0" xfId="10" applyAlignment="1">
      <alignment vertical="center"/>
    </xf>
    <xf numFmtId="0" fontId="2" fillId="0" borderId="0" xfId="10" applyAlignment="1">
      <alignment horizontal="right" vertical="center"/>
    </xf>
    <xf numFmtId="0" fontId="27" fillId="0" borderId="0" xfId="10" applyFont="1"/>
    <xf numFmtId="0" fontId="27" fillId="3" borderId="0" xfId="10" applyFont="1" applyFill="1" applyProtection="1">
      <protection locked="0"/>
    </xf>
    <xf numFmtId="0" fontId="25" fillId="0" borderId="0" xfId="10" applyFont="1" applyAlignment="1">
      <alignment horizontal="center"/>
    </xf>
    <xf numFmtId="0" fontId="28" fillId="0" borderId="0" xfId="10" applyFont="1"/>
    <xf numFmtId="1" fontId="28" fillId="0" borderId="17" xfId="10" applyNumberFormat="1" applyFont="1" applyBorder="1"/>
    <xf numFmtId="0" fontId="29" fillId="0" borderId="0" xfId="10" applyFont="1" applyAlignment="1">
      <alignment vertical="center"/>
    </xf>
    <xf numFmtId="0" fontId="28" fillId="0" borderId="18" xfId="10" applyFont="1" applyBorder="1"/>
    <xf numFmtId="0" fontId="28" fillId="0" borderId="19" xfId="10" applyFont="1" applyBorder="1"/>
    <xf numFmtId="0" fontId="2" fillId="3" borderId="0" xfId="10" applyFill="1" applyProtection="1">
      <protection locked="0"/>
    </xf>
    <xf numFmtId="0" fontId="2" fillId="4" borderId="9" xfId="10" applyFill="1" applyBorder="1" applyAlignment="1">
      <alignment horizontal="center" vertical="center"/>
    </xf>
    <xf numFmtId="0" fontId="2" fillId="0" borderId="0" xfId="10" quotePrefix="1" applyAlignment="1">
      <alignment horizontal="center"/>
    </xf>
    <xf numFmtId="1" fontId="2" fillId="0" borderId="0" xfId="10" applyNumberFormat="1"/>
    <xf numFmtId="0" fontId="2" fillId="0" borderId="9" xfId="10" applyBorder="1" applyAlignment="1">
      <alignment horizontal="center" vertical="center"/>
    </xf>
    <xf numFmtId="0" fontId="2" fillId="3" borderId="0" xfId="10" applyFill="1" applyAlignment="1" applyProtection="1">
      <alignment horizontal="right"/>
      <protection locked="0"/>
    </xf>
    <xf numFmtId="0" fontId="2" fillId="0" borderId="4" xfId="10" applyBorder="1"/>
    <xf numFmtId="165" fontId="2" fillId="0" borderId="0" xfId="10" applyNumberFormat="1"/>
    <xf numFmtId="165" fontId="2" fillId="0" borderId="4" xfId="10" applyNumberFormat="1" applyBorder="1"/>
    <xf numFmtId="2" fontId="2" fillId="0" borderId="4" xfId="10" applyNumberFormat="1" applyBorder="1"/>
    <xf numFmtId="0" fontId="2" fillId="0" borderId="0" xfId="10" applyAlignment="1">
      <alignment horizontal="center"/>
    </xf>
    <xf numFmtId="0" fontId="3" fillId="0" borderId="18" xfId="10" applyFont="1" applyBorder="1"/>
    <xf numFmtId="1" fontId="3" fillId="0" borderId="19" xfId="10" applyNumberFormat="1" applyFont="1" applyBorder="1"/>
    <xf numFmtId="2" fontId="2" fillId="0" borderId="0" xfId="10" applyNumberFormat="1"/>
    <xf numFmtId="0" fontId="2" fillId="0" borderId="0" xfId="11" applyFont="1"/>
    <xf numFmtId="0" fontId="2" fillId="0" borderId="0" xfId="10" applyAlignment="1">
      <alignment horizontal="center" vertical="center"/>
    </xf>
    <xf numFmtId="0" fontId="2" fillId="0" borderId="0" xfId="11" applyFont="1" applyAlignment="1">
      <alignment horizontal="left"/>
    </xf>
    <xf numFmtId="0" fontId="2" fillId="0" borderId="0" xfId="11" applyFont="1" applyAlignment="1">
      <alignment horizontal="right" indent="1"/>
    </xf>
    <xf numFmtId="0" fontId="3" fillId="0" borderId="0" xfId="11" applyFont="1" applyAlignment="1">
      <alignment horizontal="right" indent="1"/>
    </xf>
    <xf numFmtId="0" fontId="2" fillId="0" borderId="0" xfId="11" applyFont="1" applyAlignment="1">
      <alignment horizontal="right"/>
    </xf>
    <xf numFmtId="0" fontId="2" fillId="0" borderId="0" xfId="11" applyFont="1" applyAlignment="1">
      <alignment horizontal="left" indent="1"/>
    </xf>
    <xf numFmtId="2" fontId="2" fillId="0" borderId="0" xfId="11" applyNumberFormat="1" applyFont="1" applyAlignment="1">
      <alignment horizontal="right"/>
    </xf>
    <xf numFmtId="0" fontId="3" fillId="0" borderId="0" xfId="11" applyFont="1" applyAlignment="1">
      <alignment horizontal="left" indent="4"/>
    </xf>
    <xf numFmtId="0" fontId="2" fillId="3" borderId="0" xfId="11" applyFont="1" applyFill="1" applyAlignment="1" applyProtection="1">
      <alignment horizontal="right"/>
      <protection locked="0"/>
    </xf>
    <xf numFmtId="0" fontId="8" fillId="0" borderId="0" xfId="11" applyFont="1" applyAlignment="1">
      <alignment horizontal="center"/>
    </xf>
    <xf numFmtId="0" fontId="32" fillId="0" borderId="0" xfId="11" applyFont="1" applyAlignment="1">
      <alignment horizontal="left" indent="4"/>
    </xf>
    <xf numFmtId="0" fontId="8" fillId="0" borderId="0" xfId="11" applyFont="1" applyAlignment="1">
      <alignment horizontal="left" indent="4"/>
    </xf>
    <xf numFmtId="0" fontId="33" fillId="0" borderId="0" xfId="11" applyFont="1" applyAlignment="1">
      <alignment horizontal="left" indent="4"/>
    </xf>
    <xf numFmtId="165" fontId="2" fillId="0" borderId="0" xfId="11" applyNumberFormat="1" applyFont="1" applyAlignment="1">
      <alignment horizontal="right"/>
    </xf>
    <xf numFmtId="165" fontId="3" fillId="0" borderId="0" xfId="11" applyNumberFormat="1" applyFont="1" applyAlignment="1">
      <alignment horizontal="center"/>
    </xf>
    <xf numFmtId="0" fontId="34" fillId="0" borderId="0" xfId="11" applyFont="1" applyAlignment="1">
      <alignment horizontal="left" indent="1"/>
    </xf>
    <xf numFmtId="2" fontId="2" fillId="3" borderId="0" xfId="11" applyNumberFormat="1" applyFont="1" applyFill="1" applyAlignment="1" applyProtection="1">
      <alignment horizontal="right"/>
      <protection locked="0"/>
    </xf>
    <xf numFmtId="0" fontId="35" fillId="0" borderId="0" xfId="11" applyFont="1" applyAlignment="1">
      <alignment horizontal="left" indent="1"/>
    </xf>
    <xf numFmtId="0" fontId="37" fillId="6" borderId="0" xfId="9" applyFont="1" applyFill="1" applyAlignment="1">
      <alignment horizontal="right"/>
    </xf>
    <xf numFmtId="0" fontId="10" fillId="0" borderId="0" xfId="11" applyAlignment="1">
      <alignment horizontal="left"/>
    </xf>
    <xf numFmtId="2" fontId="10" fillId="0" borderId="4" xfId="11" applyNumberFormat="1" applyBorder="1" applyAlignment="1">
      <alignment horizontal="right"/>
    </xf>
    <xf numFmtId="0" fontId="10" fillId="0" borderId="0" xfId="11"/>
    <xf numFmtId="2" fontId="10" fillId="0" borderId="20" xfId="11" applyNumberFormat="1" applyBorder="1" applyAlignment="1">
      <alignment horizontal="right"/>
    </xf>
    <xf numFmtId="2" fontId="10" fillId="0" borderId="21" xfId="11" applyNumberFormat="1" applyBorder="1" applyAlignment="1">
      <alignment horizontal="right"/>
    </xf>
    <xf numFmtId="0" fontId="6" fillId="0" borderId="0" xfId="11" applyFont="1" applyAlignment="1">
      <alignment horizontal="left" indent="1"/>
    </xf>
    <xf numFmtId="0" fontId="3" fillId="0" borderId="0" xfId="11" applyFont="1"/>
    <xf numFmtId="0" fontId="23" fillId="0" borderId="0" xfId="11" applyFont="1" applyAlignment="1">
      <alignment horizontal="right" indent="1"/>
    </xf>
    <xf numFmtId="0" fontId="3" fillId="0" borderId="0" xfId="11" applyFont="1" applyAlignment="1">
      <alignment horizontal="left" indent="1"/>
    </xf>
    <xf numFmtId="2" fontId="3" fillId="0" borderId="0" xfId="11" applyNumberFormat="1" applyFont="1" applyAlignment="1">
      <alignment horizontal="center"/>
    </xf>
    <xf numFmtId="0" fontId="41" fillId="0" borderId="0" xfId="11" applyFont="1" applyAlignment="1">
      <alignment horizontal="left" indent="1"/>
    </xf>
    <xf numFmtId="0" fontId="42" fillId="0" borderId="0" xfId="11" applyFont="1" applyAlignment="1">
      <alignment horizontal="left" indent="1"/>
    </xf>
    <xf numFmtId="2" fontId="2" fillId="0" borderId="0" xfId="11" applyNumberFormat="1" applyFont="1" applyAlignment="1">
      <alignment horizontal="center"/>
    </xf>
    <xf numFmtId="2" fontId="43" fillId="0" borderId="0" xfId="11" applyNumberFormat="1" applyFont="1" applyAlignment="1">
      <alignment horizontal="right"/>
    </xf>
    <xf numFmtId="0" fontId="10" fillId="0" borderId="20" xfId="11" applyBorder="1" applyAlignment="1">
      <alignment horizontal="left" indent="1"/>
    </xf>
    <xf numFmtId="0" fontId="44" fillId="0" borderId="0" xfId="11" applyFont="1"/>
    <xf numFmtId="0" fontId="2" fillId="0" borderId="0" xfId="10" applyAlignment="1" applyProtection="1">
      <alignment horizontal="center" vertical="center"/>
      <protection locked="0"/>
    </xf>
    <xf numFmtId="0" fontId="3" fillId="0" borderId="0" xfId="10" applyFont="1" applyAlignment="1">
      <alignment vertical="center"/>
    </xf>
    <xf numFmtId="0" fontId="8" fillId="0" borderId="18" xfId="11" applyFont="1" applyBorder="1" applyAlignment="1">
      <alignment horizontal="left" indent="1"/>
    </xf>
    <xf numFmtId="2" fontId="8" fillId="0" borderId="19" xfId="11" applyNumberFormat="1" applyFont="1" applyBorder="1" applyAlignment="1">
      <alignment horizontal="right"/>
    </xf>
    <xf numFmtId="0" fontId="2" fillId="4" borderId="9" xfId="10" applyFill="1" applyBorder="1" applyAlignment="1">
      <alignment horizontal="left" vertical="center"/>
    </xf>
    <xf numFmtId="0" fontId="2" fillId="0" borderId="0" xfId="11" applyFont="1" applyAlignment="1">
      <alignment vertical="center"/>
    </xf>
    <xf numFmtId="0" fontId="3" fillId="2" borderId="0" xfId="10" applyFont="1" applyFill="1"/>
    <xf numFmtId="0" fontId="2" fillId="2" borderId="0" xfId="10" applyFill="1"/>
    <xf numFmtId="0" fontId="2" fillId="0" borderId="9" xfId="10" applyBorder="1" applyAlignment="1">
      <alignment horizontal="center"/>
    </xf>
    <xf numFmtId="0" fontId="3" fillId="6" borderId="0" xfId="10" applyFont="1" applyFill="1" applyAlignment="1">
      <alignment vertical="center"/>
    </xf>
    <xf numFmtId="0" fontId="2" fillId="6" borderId="0" xfId="10" applyFill="1" applyAlignment="1">
      <alignment vertical="center"/>
    </xf>
    <xf numFmtId="0" fontId="2" fillId="6" borderId="0" xfId="11" applyFont="1" applyFill="1"/>
    <xf numFmtId="0" fontId="2" fillId="6" borderId="0" xfId="11" applyFont="1" applyFill="1" applyAlignment="1">
      <alignment horizontal="left" indent="1"/>
    </xf>
    <xf numFmtId="0" fontId="2" fillId="6" borderId="0" xfId="10" applyFill="1"/>
    <xf numFmtId="0" fontId="10" fillId="0" borderId="0" xfId="11" applyAlignment="1">
      <alignment horizontal="left" indent="1"/>
    </xf>
    <xf numFmtId="0" fontId="10" fillId="0" borderId="0" xfId="11" applyAlignment="1">
      <alignment horizontal="right"/>
    </xf>
    <xf numFmtId="0" fontId="8" fillId="0" borderId="0" xfId="11" applyFont="1" applyAlignment="1">
      <alignment horizontal="left" indent="1"/>
    </xf>
    <xf numFmtId="2" fontId="8" fillId="0" borderId="0" xfId="11" applyNumberFormat="1" applyFont="1" applyAlignment="1">
      <alignment horizontal="right"/>
    </xf>
    <xf numFmtId="0" fontId="2" fillId="6" borderId="0" xfId="10" applyFill="1" applyAlignment="1">
      <alignment horizontal="center" vertical="center"/>
    </xf>
    <xf numFmtId="171" fontId="0" fillId="3" borderId="0" xfId="0" applyNumberFormat="1" applyFill="1" applyAlignment="1">
      <alignment horizontal="center" vertical="center"/>
    </xf>
    <xf numFmtId="0" fontId="19" fillId="0" borderId="0" xfId="0" applyFont="1" applyAlignment="1">
      <alignment horizontal="left" vertical="center" wrapText="1"/>
    </xf>
    <xf numFmtId="0" fontId="16" fillId="0" borderId="0" xfId="0" applyFont="1" applyAlignment="1">
      <alignment horizontal="left" vertical="center" wrapText="1"/>
    </xf>
    <xf numFmtId="0" fontId="0" fillId="0" borderId="0" xfId="0" applyAlignment="1">
      <alignment horizontal="left" vertical="center" indent="1"/>
    </xf>
    <xf numFmtId="49" fontId="2" fillId="0" borderId="0" xfId="0" applyNumberFormat="1" applyFont="1" applyAlignment="1">
      <alignment vertical="center"/>
    </xf>
    <xf numFmtId="49" fontId="0" fillId="0" borderId="0" xfId="0" applyNumberFormat="1" applyAlignment="1" applyProtection="1">
      <alignment horizontal="center" vertical="center"/>
      <protection locked="0"/>
    </xf>
    <xf numFmtId="49" fontId="2" fillId="0" borderId="0" xfId="0" applyNumberFormat="1" applyFont="1" applyAlignment="1" applyProtection="1">
      <alignment horizontal="left" vertical="center"/>
      <protection locked="0"/>
    </xf>
    <xf numFmtId="49" fontId="0" fillId="0" borderId="3" xfId="0" applyNumberFormat="1" applyBorder="1" applyAlignment="1" applyProtection="1">
      <alignment vertical="center"/>
      <protection locked="0"/>
    </xf>
    <xf numFmtId="49" fontId="2" fillId="0" borderId="3" xfId="0" applyNumberFormat="1" applyFont="1" applyBorder="1" applyAlignment="1" applyProtection="1">
      <alignment vertical="center"/>
      <protection locked="0"/>
    </xf>
    <xf numFmtId="0" fontId="2" fillId="7" borderId="0" xfId="0" applyFont="1" applyFill="1" applyAlignment="1" applyProtection="1">
      <alignment horizontal="center" vertical="center"/>
      <protection locked="0"/>
    </xf>
    <xf numFmtId="2" fontId="2" fillId="0" borderId="9" xfId="10" applyNumberFormat="1" applyBorder="1" applyAlignment="1">
      <alignment horizontal="center" vertical="center"/>
    </xf>
    <xf numFmtId="0" fontId="23" fillId="0" borderId="0" xfId="11" applyFont="1" applyAlignment="1">
      <alignment horizontal="left" indent="1"/>
    </xf>
    <xf numFmtId="0" fontId="2" fillId="0" borderId="22" xfId="11" applyFont="1" applyBorder="1"/>
    <xf numFmtId="0" fontId="2" fillId="0" borderId="23" xfId="11" applyFont="1" applyBorder="1" applyAlignment="1">
      <alignment horizontal="left" indent="1"/>
    </xf>
    <xf numFmtId="2" fontId="2" fillId="0" borderId="22" xfId="11" applyNumberFormat="1" applyFont="1" applyBorder="1"/>
    <xf numFmtId="0" fontId="2" fillId="2" borderId="18" xfId="11" applyFont="1" applyFill="1" applyBorder="1"/>
    <xf numFmtId="0" fontId="2" fillId="2" borderId="19" xfId="11" applyFont="1" applyFill="1" applyBorder="1"/>
    <xf numFmtId="0" fontId="2" fillId="0" borderId="22" xfId="11" applyFont="1" applyBorder="1" applyAlignment="1">
      <alignment horizontal="center"/>
    </xf>
    <xf numFmtId="0" fontId="8" fillId="0" borderId="24" xfId="11" applyFont="1" applyBorder="1" applyAlignment="1">
      <alignment horizontal="left" indent="1"/>
    </xf>
    <xf numFmtId="2" fontId="8" fillId="0" borderId="25" xfId="11" applyNumberFormat="1" applyFont="1" applyBorder="1" applyAlignment="1">
      <alignment horizontal="right"/>
    </xf>
    <xf numFmtId="0" fontId="2" fillId="0" borderId="0" xfId="11" applyFont="1" applyAlignment="1">
      <alignment horizontal="center"/>
    </xf>
    <xf numFmtId="49" fontId="0" fillId="6" borderId="3" xfId="0" applyNumberFormat="1" applyFill="1" applyBorder="1" applyAlignment="1" applyProtection="1">
      <alignment vertical="center"/>
      <protection locked="0"/>
    </xf>
    <xf numFmtId="49" fontId="0" fillId="6" borderId="0" xfId="0" applyNumberFormat="1" applyFill="1" applyAlignment="1" applyProtection="1">
      <alignment horizontal="center" vertical="center"/>
      <protection locked="0"/>
    </xf>
    <xf numFmtId="0" fontId="2" fillId="8" borderId="0" xfId="10" applyFill="1" applyProtection="1">
      <protection locked="0"/>
    </xf>
    <xf numFmtId="0" fontId="2" fillId="8" borderId="0" xfId="10" applyFill="1" applyAlignment="1" applyProtection="1">
      <alignment horizontal="right"/>
      <protection locked="0"/>
    </xf>
    <xf numFmtId="0" fontId="2" fillId="6" borderId="31" xfId="10" applyFill="1" applyBorder="1" applyProtection="1">
      <protection hidden="1"/>
    </xf>
    <xf numFmtId="0" fontId="2" fillId="6" borderId="0" xfId="10" applyFill="1" applyProtection="1">
      <protection hidden="1"/>
    </xf>
    <xf numFmtId="165" fontId="2" fillId="6" borderId="0" xfId="10" applyNumberFormat="1" applyFill="1" applyProtection="1">
      <protection hidden="1"/>
    </xf>
    <xf numFmtId="0" fontId="2" fillId="6" borderId="32" xfId="10" applyFill="1" applyBorder="1" applyProtection="1">
      <protection hidden="1"/>
    </xf>
    <xf numFmtId="0" fontId="2" fillId="6" borderId="9" xfId="10" applyFill="1" applyBorder="1" applyAlignment="1" applyProtection="1">
      <alignment horizontal="center" vertical="center"/>
      <protection hidden="1"/>
    </xf>
    <xf numFmtId="0" fontId="2" fillId="6" borderId="4" xfId="10" applyFill="1" applyBorder="1" applyProtection="1">
      <protection hidden="1"/>
    </xf>
    <xf numFmtId="0" fontId="2" fillId="6" borderId="0" xfId="10" quotePrefix="1" applyFill="1" applyProtection="1">
      <protection hidden="1"/>
    </xf>
    <xf numFmtId="165" fontId="2" fillId="6" borderId="4" xfId="10" applyNumberFormat="1" applyFill="1" applyBorder="1" applyProtection="1">
      <protection hidden="1"/>
    </xf>
    <xf numFmtId="176" fontId="2" fillId="6" borderId="4" xfId="10" applyNumberFormat="1" applyFill="1" applyBorder="1" applyProtection="1">
      <protection hidden="1"/>
    </xf>
    <xf numFmtId="0" fontId="51" fillId="6" borderId="0" xfId="0" applyFont="1" applyFill="1" applyProtection="1">
      <protection hidden="1"/>
    </xf>
    <xf numFmtId="0" fontId="2" fillId="6" borderId="0" xfId="10" applyFill="1" applyAlignment="1" applyProtection="1">
      <alignment horizontal="center"/>
      <protection hidden="1"/>
    </xf>
    <xf numFmtId="0" fontId="3" fillId="6" borderId="18" xfId="10" applyFont="1" applyFill="1" applyBorder="1" applyProtection="1">
      <protection hidden="1"/>
    </xf>
    <xf numFmtId="165" fontId="3" fillId="6" borderId="19" xfId="10" applyNumberFormat="1" applyFont="1" applyFill="1" applyBorder="1" applyProtection="1">
      <protection hidden="1"/>
    </xf>
    <xf numFmtId="0" fontId="12" fillId="6" borderId="0" xfId="0" applyFont="1" applyFill="1" applyAlignment="1" applyProtection="1">
      <alignment horizontal="center" vertical="center"/>
      <protection hidden="1"/>
    </xf>
    <xf numFmtId="0" fontId="53" fillId="6" borderId="0" xfId="10" applyFont="1" applyFill="1" applyProtection="1">
      <protection hidden="1"/>
    </xf>
    <xf numFmtId="0" fontId="2" fillId="6" borderId="22" xfId="10" applyFill="1" applyBorder="1" applyProtection="1">
      <protection hidden="1"/>
    </xf>
    <xf numFmtId="0" fontId="2" fillId="6" borderId="34" xfId="10" applyFill="1" applyBorder="1" applyProtection="1">
      <protection hidden="1"/>
    </xf>
    <xf numFmtId="0" fontId="2" fillId="6" borderId="23" xfId="10" applyFill="1" applyBorder="1" applyProtection="1">
      <protection hidden="1"/>
    </xf>
    <xf numFmtId="0" fontId="0" fillId="2" borderId="1" xfId="0" applyFill="1" applyBorder="1" applyAlignment="1" applyProtection="1">
      <alignment vertical="top" wrapText="1"/>
      <protection hidden="1"/>
    </xf>
    <xf numFmtId="0" fontId="1" fillId="2" borderId="1" xfId="0" applyFont="1" applyFill="1" applyBorder="1" applyAlignment="1" applyProtection="1">
      <alignment vertical="top" wrapText="1"/>
      <protection hidden="1"/>
    </xf>
    <xf numFmtId="0" fontId="18" fillId="6" borderId="0" xfId="10" applyFont="1" applyFill="1" applyAlignment="1" applyProtection="1">
      <alignment horizontal="right"/>
      <protection hidden="1"/>
    </xf>
    <xf numFmtId="0" fontId="18" fillId="6" borderId="0" xfId="10" applyFont="1" applyFill="1" applyAlignment="1" applyProtection="1">
      <alignment horizontal="center"/>
      <protection hidden="1"/>
    </xf>
    <xf numFmtId="0" fontId="18" fillId="6" borderId="0" xfId="10" applyFont="1" applyFill="1" applyProtection="1">
      <protection hidden="1"/>
    </xf>
    <xf numFmtId="177" fontId="61" fillId="6" borderId="1" xfId="0" applyNumberFormat="1" applyFont="1" applyFill="1" applyBorder="1" applyAlignment="1" applyProtection="1">
      <alignment vertical="top" shrinkToFit="1"/>
      <protection hidden="1"/>
    </xf>
    <xf numFmtId="164" fontId="61" fillId="6" borderId="1" xfId="0" applyNumberFormat="1" applyFont="1" applyFill="1" applyBorder="1" applyAlignment="1" applyProtection="1">
      <alignment vertical="top" shrinkToFit="1"/>
      <protection hidden="1"/>
    </xf>
    <xf numFmtId="1" fontId="61" fillId="6" borderId="1" xfId="0" applyNumberFormat="1" applyFont="1" applyFill="1" applyBorder="1" applyAlignment="1" applyProtection="1">
      <alignment vertical="top" shrinkToFit="1"/>
      <protection hidden="1"/>
    </xf>
    <xf numFmtId="0" fontId="62" fillId="6" borderId="0" xfId="0" applyFont="1" applyFill="1" applyAlignment="1" applyProtection="1">
      <alignment horizontal="right"/>
      <protection hidden="1"/>
    </xf>
    <xf numFmtId="177" fontId="18" fillId="6" borderId="0" xfId="10" applyNumberFormat="1" applyFont="1" applyFill="1" applyAlignment="1" applyProtection="1">
      <alignment horizontal="right"/>
      <protection hidden="1"/>
    </xf>
    <xf numFmtId="0" fontId="63" fillId="6" borderId="0" xfId="10" applyFont="1" applyFill="1" applyAlignment="1" applyProtection="1">
      <alignment horizontal="right"/>
      <protection hidden="1"/>
    </xf>
    <xf numFmtId="0" fontId="63" fillId="6" borderId="0" xfId="10" applyFont="1" applyFill="1" applyProtection="1">
      <protection hidden="1"/>
    </xf>
    <xf numFmtId="0" fontId="2" fillId="4" borderId="9" xfId="10" applyFill="1" applyBorder="1" applyAlignment="1" applyProtection="1">
      <alignment horizontal="center" vertical="center"/>
      <protection hidden="1"/>
    </xf>
    <xf numFmtId="0" fontId="2" fillId="6" borderId="0" xfId="10" quotePrefix="1" applyFill="1" applyAlignment="1" applyProtection="1">
      <alignment horizontal="center"/>
      <protection hidden="1"/>
    </xf>
    <xf numFmtId="1" fontId="2" fillId="6" borderId="0" xfId="10" applyNumberFormat="1" applyFill="1" applyProtection="1">
      <protection hidden="1"/>
    </xf>
    <xf numFmtId="0" fontId="2" fillId="6" borderId="0" xfId="10" applyFill="1" applyAlignment="1" applyProtection="1">
      <alignment horizontal="center" vertical="center"/>
      <protection hidden="1"/>
    </xf>
    <xf numFmtId="0" fontId="2" fillId="6" borderId="26" xfId="10" applyFill="1" applyBorder="1" applyAlignment="1" applyProtection="1">
      <alignment vertical="center"/>
      <protection hidden="1"/>
    </xf>
    <xf numFmtId="0" fontId="2" fillId="6" borderId="27" xfId="10" applyFill="1" applyBorder="1" applyProtection="1">
      <protection hidden="1"/>
    </xf>
    <xf numFmtId="0" fontId="2" fillId="6" borderId="27" xfId="10" applyFill="1" applyBorder="1" applyAlignment="1" applyProtection="1">
      <alignment vertical="center"/>
      <protection hidden="1"/>
    </xf>
    <xf numFmtId="0" fontId="2" fillId="6" borderId="28" xfId="10" applyFill="1" applyBorder="1" applyAlignment="1" applyProtection="1">
      <alignment vertical="center"/>
      <protection hidden="1"/>
    </xf>
    <xf numFmtId="0" fontId="3" fillId="2" borderId="31" xfId="10" applyFont="1" applyFill="1" applyBorder="1" applyAlignment="1" applyProtection="1">
      <alignment vertical="center"/>
      <protection hidden="1"/>
    </xf>
    <xf numFmtId="0" fontId="3" fillId="2" borderId="0" xfId="10" applyFont="1" applyFill="1" applyProtection="1">
      <protection hidden="1"/>
    </xf>
    <xf numFmtId="0" fontId="2" fillId="2" borderId="0" xfId="10" applyFill="1" applyAlignment="1" applyProtection="1">
      <alignment vertical="center"/>
      <protection hidden="1"/>
    </xf>
    <xf numFmtId="0" fontId="2" fillId="2" borderId="0" xfId="10" applyFill="1" applyProtection="1">
      <protection hidden="1"/>
    </xf>
    <xf numFmtId="0" fontId="2" fillId="2" borderId="32" xfId="10" applyFill="1" applyBorder="1" applyAlignment="1" applyProtection="1">
      <alignment vertical="center"/>
      <protection hidden="1"/>
    </xf>
    <xf numFmtId="0" fontId="2" fillId="6" borderId="31" xfId="10" applyFill="1" applyBorder="1" applyAlignment="1" applyProtection="1">
      <alignment vertical="center"/>
      <protection hidden="1"/>
    </xf>
    <xf numFmtId="0" fontId="2" fillId="6" borderId="0" xfId="10" applyFill="1" applyAlignment="1" applyProtection="1">
      <alignment vertical="center"/>
      <protection hidden="1"/>
    </xf>
    <xf numFmtId="0" fontId="2" fillId="6" borderId="32" xfId="10" applyFill="1" applyBorder="1" applyAlignment="1" applyProtection="1">
      <alignment vertical="center"/>
      <protection hidden="1"/>
    </xf>
    <xf numFmtId="0" fontId="0" fillId="6" borderId="31" xfId="0" applyFill="1" applyBorder="1" applyAlignment="1" applyProtection="1">
      <alignment vertical="center"/>
      <protection hidden="1"/>
    </xf>
    <xf numFmtId="0" fontId="0" fillId="6" borderId="0" xfId="0" applyFill="1" applyProtection="1">
      <protection hidden="1"/>
    </xf>
    <xf numFmtId="0" fontId="2" fillId="6" borderId="0" xfId="0" applyFont="1" applyFill="1" applyAlignment="1" applyProtection="1">
      <alignment horizontal="right" vertical="center"/>
      <protection hidden="1"/>
    </xf>
    <xf numFmtId="0" fontId="0" fillId="6" borderId="0" xfId="0" applyFill="1" applyAlignment="1" applyProtection="1">
      <alignment vertical="center"/>
      <protection hidden="1"/>
    </xf>
    <xf numFmtId="0" fontId="0" fillId="6" borderId="32" xfId="0" applyFill="1" applyBorder="1" applyAlignment="1" applyProtection="1">
      <alignment vertical="center"/>
      <protection hidden="1"/>
    </xf>
    <xf numFmtId="176" fontId="2" fillId="6" borderId="4" xfId="10" applyNumberFormat="1" applyFill="1" applyBorder="1" applyAlignment="1" applyProtection="1">
      <alignment horizontal="right"/>
      <protection hidden="1"/>
    </xf>
    <xf numFmtId="165" fontId="3" fillId="6" borderId="19" xfId="10" applyNumberFormat="1" applyFont="1" applyFill="1" applyBorder="1" applyAlignment="1" applyProtection="1">
      <alignment horizontal="right"/>
      <protection hidden="1"/>
    </xf>
    <xf numFmtId="0" fontId="0" fillId="0" borderId="0" xfId="0" applyAlignment="1" applyProtection="1">
      <alignment vertical="center"/>
      <protection hidden="1"/>
    </xf>
    <xf numFmtId="0" fontId="3" fillId="2" borderId="0" xfId="0" applyFont="1" applyFill="1" applyAlignment="1" applyProtection="1">
      <alignment vertical="center"/>
      <protection hidden="1"/>
    </xf>
    <xf numFmtId="0" fontId="0" fillId="2" borderId="0" xfId="0" applyFill="1" applyAlignment="1" applyProtection="1">
      <alignment vertical="center"/>
      <protection hidden="1"/>
    </xf>
    <xf numFmtId="0" fontId="2" fillId="0" borderId="0" xfId="0" applyFont="1" applyAlignment="1" applyProtection="1">
      <alignment horizontal="right" vertical="center"/>
      <protection hidden="1"/>
    </xf>
    <xf numFmtId="0" fontId="2" fillId="0" borderId="0" xfId="0" applyFont="1" applyAlignment="1" applyProtection="1">
      <alignment vertical="center"/>
      <protection hidden="1"/>
    </xf>
    <xf numFmtId="0" fontId="0" fillId="0" borderId="0" xfId="0" applyAlignment="1" applyProtection="1">
      <alignment horizontal="center" vertical="center"/>
      <protection hidden="1"/>
    </xf>
    <xf numFmtId="0" fontId="2" fillId="0" borderId="0" xfId="0" applyFont="1" applyAlignment="1" applyProtection="1">
      <alignment horizontal="left" vertical="center"/>
      <protection hidden="1"/>
    </xf>
    <xf numFmtId="0" fontId="0" fillId="0" borderId="0" xfId="0" applyAlignment="1" applyProtection="1">
      <alignment horizontal="left" vertical="center"/>
      <protection hidden="1"/>
    </xf>
    <xf numFmtId="167" fontId="0" fillId="0" borderId="0" xfId="0" applyNumberFormat="1" applyAlignment="1" applyProtection="1">
      <alignment horizontal="left" vertical="center"/>
      <protection hidden="1"/>
    </xf>
    <xf numFmtId="0" fontId="3" fillId="0" borderId="0" xfId="0" applyFont="1" applyAlignment="1" applyProtection="1">
      <alignment vertical="center"/>
      <protection hidden="1"/>
    </xf>
    <xf numFmtId="0" fontId="1" fillId="0" borderId="0" xfId="0" applyFont="1" applyAlignment="1" applyProtection="1">
      <alignment horizontal="center" vertical="center"/>
      <protection hidden="1"/>
    </xf>
    <xf numFmtId="169" fontId="0" fillId="0" borderId="0" xfId="0" applyNumberFormat="1" applyAlignment="1" applyProtection="1">
      <alignment horizontal="left" vertical="center"/>
      <protection hidden="1"/>
    </xf>
    <xf numFmtId="0" fontId="17" fillId="0" borderId="0" xfId="0" applyFont="1" applyAlignment="1" applyProtection="1">
      <alignment vertical="center"/>
      <protection hidden="1"/>
    </xf>
    <xf numFmtId="0" fontId="0" fillId="4" borderId="9" xfId="0" applyFill="1" applyBorder="1" applyAlignment="1" applyProtection="1">
      <alignment horizontal="center" vertical="center"/>
      <protection hidden="1"/>
    </xf>
    <xf numFmtId="0" fontId="2" fillId="4" borderId="9" xfId="0" applyFont="1" applyFill="1" applyBorder="1" applyAlignment="1" applyProtection="1">
      <alignment horizontal="center" vertical="center"/>
      <protection hidden="1"/>
    </xf>
    <xf numFmtId="168" fontId="0" fillId="0" borderId="0" xfId="0" applyNumberFormat="1" applyAlignment="1" applyProtection="1">
      <alignment horizontal="left" vertical="center"/>
      <protection hidden="1"/>
    </xf>
    <xf numFmtId="0" fontId="2" fillId="0" borderId="0" xfId="0" quotePrefix="1" applyFont="1" applyAlignment="1" applyProtection="1">
      <alignment vertical="center"/>
      <protection hidden="1"/>
    </xf>
    <xf numFmtId="0" fontId="0" fillId="0" borderId="9" xfId="0" applyBorder="1" applyAlignment="1" applyProtection="1">
      <alignment horizontal="center" vertical="center"/>
      <protection hidden="1"/>
    </xf>
    <xf numFmtId="0" fontId="1" fillId="0" borderId="0" xfId="0" applyFont="1" applyAlignment="1" applyProtection="1">
      <alignment vertical="center"/>
      <protection hidden="1"/>
    </xf>
    <xf numFmtId="164" fontId="0" fillId="0" borderId="0" xfId="0" applyNumberFormat="1" applyAlignment="1" applyProtection="1">
      <alignment horizontal="left" vertical="center"/>
      <protection hidden="1"/>
    </xf>
    <xf numFmtId="165" fontId="0" fillId="0" borderId="9" xfId="0" applyNumberFormat="1" applyBorder="1" applyAlignment="1" applyProtection="1">
      <alignment horizontal="center" vertical="center"/>
      <protection hidden="1"/>
    </xf>
    <xf numFmtId="0" fontId="2" fillId="0" borderId="9" xfId="0" applyFont="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0" fillId="6" borderId="0" xfId="0" applyFill="1" applyAlignment="1" applyProtection="1">
      <alignment horizontal="center" vertical="center"/>
      <protection hidden="1"/>
    </xf>
    <xf numFmtId="0" fontId="2" fillId="4" borderId="6" xfId="0" applyFont="1" applyFill="1" applyBorder="1" applyAlignment="1" applyProtection="1">
      <alignment vertical="center"/>
      <protection hidden="1"/>
    </xf>
    <xf numFmtId="0" fontId="0" fillId="4" borderId="8" xfId="0" applyFill="1" applyBorder="1" applyAlignment="1" applyProtection="1">
      <alignment vertical="center"/>
      <protection hidden="1"/>
    </xf>
    <xf numFmtId="0" fontId="13" fillId="4" borderId="9" xfId="0" applyFont="1" applyFill="1" applyBorder="1" applyAlignment="1" applyProtection="1">
      <alignment vertical="center"/>
      <protection hidden="1"/>
    </xf>
    <xf numFmtId="0" fontId="0" fillId="4" borderId="9" xfId="0" applyFill="1" applyBorder="1" applyAlignment="1" applyProtection="1">
      <alignment vertical="center"/>
      <protection hidden="1"/>
    </xf>
    <xf numFmtId="178" fontId="0" fillId="0" borderId="0" xfId="12" applyNumberFormat="1" applyFont="1" applyAlignment="1" applyProtection="1">
      <alignment vertical="center"/>
      <protection hidden="1"/>
    </xf>
    <xf numFmtId="167" fontId="0" fillId="0" borderId="0" xfId="0" applyNumberFormat="1" applyAlignment="1" applyProtection="1">
      <alignment vertical="center"/>
      <protection hidden="1"/>
    </xf>
    <xf numFmtId="1" fontId="0" fillId="0" borderId="9" xfId="0" applyNumberFormat="1" applyBorder="1" applyAlignment="1" applyProtection="1">
      <alignment horizontal="center" vertical="center"/>
      <protection hidden="1"/>
    </xf>
    <xf numFmtId="0" fontId="2" fillId="4" borderId="6" xfId="0" applyFont="1" applyFill="1" applyBorder="1" applyAlignment="1" applyProtection="1">
      <alignment horizontal="left" vertical="center" indent="1"/>
      <protection hidden="1"/>
    </xf>
    <xf numFmtId="0" fontId="0" fillId="4" borderId="7" xfId="0" applyFill="1" applyBorder="1" applyAlignment="1" applyProtection="1">
      <alignment vertical="center"/>
      <protection hidden="1"/>
    </xf>
    <xf numFmtId="0" fontId="0" fillId="0" borderId="15" xfId="0" applyBorder="1" applyAlignment="1" applyProtection="1">
      <alignment horizontal="left" vertical="center"/>
      <protection hidden="1"/>
    </xf>
    <xf numFmtId="0" fontId="0" fillId="0" borderId="5" xfId="0" applyBorder="1" applyAlignment="1" applyProtection="1">
      <alignment vertical="center"/>
      <protection hidden="1"/>
    </xf>
    <xf numFmtId="0" fontId="0" fillId="0" borderId="16" xfId="0" applyBorder="1" applyAlignment="1" applyProtection="1">
      <alignment vertical="center"/>
      <protection hidden="1"/>
    </xf>
    <xf numFmtId="0" fontId="0" fillId="0" borderId="10" xfId="0" applyBorder="1" applyAlignment="1" applyProtection="1">
      <alignment horizontal="left" vertical="center"/>
      <protection hidden="1"/>
    </xf>
    <xf numFmtId="0" fontId="0" fillId="0" borderId="11" xfId="0" applyBorder="1" applyAlignment="1" applyProtection="1">
      <alignment vertical="center"/>
      <protection hidden="1"/>
    </xf>
    <xf numFmtId="0" fontId="2" fillId="0" borderId="1" xfId="0" applyFont="1" applyBorder="1" applyAlignment="1" applyProtection="1">
      <alignment vertical="center"/>
      <protection hidden="1"/>
    </xf>
    <xf numFmtId="0" fontId="0" fillId="0" borderId="1" xfId="0" applyBorder="1" applyAlignment="1" applyProtection="1">
      <alignment vertical="center"/>
      <protection hidden="1"/>
    </xf>
    <xf numFmtId="167" fontId="0" fillId="0" borderId="1" xfId="0" applyNumberFormat="1" applyBorder="1" applyAlignment="1" applyProtection="1">
      <alignment vertical="center"/>
      <protection hidden="1"/>
    </xf>
    <xf numFmtId="0" fontId="2" fillId="0" borderId="0" xfId="0" applyFont="1" applyAlignment="1" applyProtection="1">
      <alignment horizontal="left" vertical="center" indent="1"/>
      <protection hidden="1"/>
    </xf>
    <xf numFmtId="0" fontId="3" fillId="0" borderId="10" xfId="0" applyFont="1" applyBorder="1" applyAlignment="1" applyProtection="1">
      <alignment horizontal="left" vertical="center" indent="1"/>
      <protection hidden="1"/>
    </xf>
    <xf numFmtId="170" fontId="3" fillId="0" borderId="1" xfId="0" applyNumberFormat="1" applyFont="1" applyBorder="1" applyAlignment="1" applyProtection="1">
      <alignment horizontal="center" vertical="center"/>
      <protection hidden="1"/>
    </xf>
    <xf numFmtId="2" fontId="0" fillId="0" borderId="0" xfId="0" applyNumberFormat="1" applyAlignment="1" applyProtection="1">
      <alignment horizontal="center" vertical="center"/>
      <protection hidden="1"/>
    </xf>
    <xf numFmtId="0" fontId="0" fillId="0" borderId="12" xfId="0" applyBorder="1" applyAlignment="1" applyProtection="1">
      <alignment vertical="center"/>
      <protection hidden="1"/>
    </xf>
    <xf numFmtId="0" fontId="0" fillId="0" borderId="13" xfId="0" applyBorder="1" applyAlignment="1" applyProtection="1">
      <alignment vertical="center"/>
      <protection hidden="1"/>
    </xf>
    <xf numFmtId="0" fontId="0" fillId="0" borderId="14" xfId="0" applyBorder="1" applyAlignment="1" applyProtection="1">
      <alignment vertical="center"/>
      <protection hidden="1"/>
    </xf>
    <xf numFmtId="0" fontId="0" fillId="0" borderId="0" xfId="0" applyAlignment="1" applyProtection="1">
      <alignment horizontal="right" vertical="center"/>
      <protection hidden="1"/>
    </xf>
    <xf numFmtId="0" fontId="8" fillId="0" borderId="0" xfId="0" applyFont="1" applyAlignment="1" applyProtection="1">
      <alignment vertical="center"/>
      <protection hidden="1"/>
    </xf>
    <xf numFmtId="2" fontId="8" fillId="0" borderId="1" xfId="0" applyNumberFormat="1" applyFont="1" applyBorder="1" applyAlignment="1" applyProtection="1">
      <alignment horizontal="center" vertical="center"/>
      <protection hidden="1"/>
    </xf>
    <xf numFmtId="0" fontId="11" fillId="0" borderId="0" xfId="0" applyFont="1" applyAlignment="1" applyProtection="1">
      <alignment vertical="center"/>
      <protection hidden="1"/>
    </xf>
    <xf numFmtId="174" fontId="0" fillId="0" borderId="0" xfId="0" applyNumberFormat="1" applyAlignment="1" applyProtection="1">
      <alignment horizontal="center" vertical="center"/>
      <protection hidden="1"/>
    </xf>
    <xf numFmtId="173" fontId="0" fillId="0" borderId="4" xfId="0" applyNumberFormat="1" applyBorder="1" applyAlignment="1" applyProtection="1">
      <alignment horizontal="center" vertical="center"/>
      <protection hidden="1"/>
    </xf>
    <xf numFmtId="173" fontId="0" fillId="0" borderId="4" xfId="0" applyNumberFormat="1" applyBorder="1" applyAlignment="1" applyProtection="1">
      <alignment horizontal="right" vertical="center"/>
      <protection hidden="1"/>
    </xf>
    <xf numFmtId="0" fontId="2" fillId="0" borderId="0" xfId="0" applyFont="1" applyAlignment="1" applyProtection="1">
      <alignment horizontal="left" vertical="center" indent="2"/>
      <protection hidden="1"/>
    </xf>
    <xf numFmtId="173" fontId="0" fillId="0" borderId="0" xfId="0" applyNumberFormat="1" applyAlignment="1" applyProtection="1">
      <alignment horizontal="center" vertical="center"/>
      <protection hidden="1"/>
    </xf>
    <xf numFmtId="173" fontId="18" fillId="0" borderId="0" xfId="0" applyNumberFormat="1" applyFont="1" applyAlignment="1" applyProtection="1">
      <alignment horizontal="center" vertical="center"/>
      <protection hidden="1"/>
    </xf>
    <xf numFmtId="167" fontId="0" fillId="0" borderId="4" xfId="0" applyNumberFormat="1" applyBorder="1" applyAlignment="1" applyProtection="1">
      <alignment horizontal="center" vertical="center"/>
      <protection hidden="1"/>
    </xf>
    <xf numFmtId="167" fontId="0" fillId="0" borderId="4" xfId="0" applyNumberFormat="1" applyBorder="1" applyAlignment="1" applyProtection="1">
      <alignment horizontal="right" vertical="center"/>
      <protection hidden="1"/>
    </xf>
    <xf numFmtId="167" fontId="0" fillId="0" borderId="0" xfId="0" applyNumberFormat="1" applyAlignment="1" applyProtection="1">
      <alignment horizontal="center" vertical="center"/>
      <protection hidden="1"/>
    </xf>
    <xf numFmtId="167" fontId="18" fillId="0" borderId="0" xfId="0" applyNumberFormat="1" applyFont="1" applyAlignment="1" applyProtection="1">
      <alignment horizontal="center" vertical="center"/>
      <protection hidden="1"/>
    </xf>
    <xf numFmtId="172" fontId="0" fillId="0" borderId="4" xfId="0" applyNumberFormat="1" applyBorder="1" applyAlignment="1" applyProtection="1">
      <alignment horizontal="center" vertical="center"/>
      <protection hidden="1"/>
    </xf>
    <xf numFmtId="0" fontId="2" fillId="0" borderId="0" xfId="0" applyFont="1" applyAlignment="1" applyProtection="1">
      <alignment horizontal="left" vertical="center" shrinkToFit="1"/>
      <protection hidden="1"/>
    </xf>
    <xf numFmtId="172" fontId="0" fillId="0" borderId="4" xfId="0" applyNumberFormat="1" applyBorder="1" applyAlignment="1" applyProtection="1">
      <alignment horizontal="right" vertical="center"/>
      <protection hidden="1"/>
    </xf>
    <xf numFmtId="172" fontId="0" fillId="0" borderId="0" xfId="0" applyNumberFormat="1" applyAlignment="1" applyProtection="1">
      <alignment horizontal="center" vertical="center"/>
      <protection hidden="1"/>
    </xf>
    <xf numFmtId="170" fontId="0" fillId="0" borderId="0" xfId="0" applyNumberFormat="1" applyAlignment="1" applyProtection="1">
      <alignment horizontal="center" vertical="center"/>
      <protection hidden="1"/>
    </xf>
    <xf numFmtId="170" fontId="3" fillId="0" borderId="0" xfId="0" applyNumberFormat="1" applyFont="1" applyAlignment="1" applyProtection="1">
      <alignment horizontal="center" vertical="center"/>
      <protection hidden="1"/>
    </xf>
    <xf numFmtId="0" fontId="12" fillId="0" borderId="0" xfId="0" applyFont="1" applyAlignment="1" applyProtection="1">
      <alignment horizontal="center" vertical="center"/>
      <protection hidden="1"/>
    </xf>
    <xf numFmtId="175" fontId="0" fillId="0" borderId="0" xfId="0" applyNumberFormat="1" applyAlignment="1" applyProtection="1">
      <alignment horizontal="center" vertical="center"/>
      <protection hidden="1"/>
    </xf>
    <xf numFmtId="170" fontId="8" fillId="0" borderId="1" xfId="0" applyNumberFormat="1" applyFont="1" applyBorder="1" applyAlignment="1" applyProtection="1">
      <alignment horizontal="center" vertical="center"/>
      <protection hidden="1"/>
    </xf>
    <xf numFmtId="0" fontId="2" fillId="8" borderId="0" xfId="0" applyFont="1" applyFill="1" applyAlignment="1" applyProtection="1">
      <alignment horizontal="center" vertical="center"/>
      <protection locked="0"/>
    </xf>
    <xf numFmtId="0" fontId="10" fillId="0" borderId="0" xfId="0" applyFont="1" applyAlignment="1" applyProtection="1">
      <alignment horizontal="center" vertical="center"/>
      <protection hidden="1"/>
    </xf>
    <xf numFmtId="0" fontId="64" fillId="0" borderId="0" xfId="0" applyFont="1" applyAlignment="1">
      <alignment horizontal="center" vertical="center"/>
    </xf>
    <xf numFmtId="0" fontId="65" fillId="0" borderId="0" xfId="0" applyFont="1" applyAlignment="1" applyProtection="1">
      <alignment vertical="center"/>
      <protection hidden="1"/>
    </xf>
    <xf numFmtId="179" fontId="0" fillId="0" borderId="0" xfId="0" applyNumberFormat="1" applyAlignment="1" applyProtection="1">
      <alignment horizontal="left" vertical="center"/>
      <protection hidden="1"/>
    </xf>
    <xf numFmtId="0" fontId="5" fillId="0" borderId="0" xfId="0" applyFont="1" applyAlignment="1" applyProtection="1">
      <alignment horizontal="left" vertical="center" wrapText="1" indent="1"/>
      <protection hidden="1"/>
    </xf>
    <xf numFmtId="2" fontId="2" fillId="3" borderId="34" xfId="10" applyNumberFormat="1" applyFill="1" applyBorder="1" applyProtection="1">
      <protection locked="0"/>
    </xf>
    <xf numFmtId="0" fontId="2" fillId="0" borderId="0" xfId="10" applyAlignment="1" applyProtection="1">
      <alignment vertical="center"/>
      <protection hidden="1"/>
    </xf>
    <xf numFmtId="0" fontId="2" fillId="0" borderId="0" xfId="10" applyProtection="1">
      <protection hidden="1"/>
    </xf>
    <xf numFmtId="0" fontId="3" fillId="2" borderId="0" xfId="10" applyFont="1" applyFill="1" applyAlignment="1" applyProtection="1">
      <alignment vertical="center"/>
      <protection hidden="1"/>
    </xf>
    <xf numFmtId="0" fontId="2" fillId="0" borderId="31" xfId="10" applyBorder="1" applyProtection="1">
      <protection hidden="1"/>
    </xf>
    <xf numFmtId="0" fontId="2" fillId="0" borderId="32" xfId="10" applyBorder="1" applyProtection="1">
      <protection hidden="1"/>
    </xf>
    <xf numFmtId="0" fontId="2" fillId="0" borderId="22" xfId="10" applyBorder="1" applyProtection="1">
      <protection hidden="1"/>
    </xf>
    <xf numFmtId="0" fontId="2" fillId="0" borderId="34" xfId="10" applyBorder="1" applyProtection="1">
      <protection hidden="1"/>
    </xf>
    <xf numFmtId="0" fontId="2" fillId="0" borderId="23" xfId="10" applyBorder="1" applyProtection="1">
      <protection hidden="1"/>
    </xf>
    <xf numFmtId="0" fontId="2" fillId="0" borderId="0" xfId="10" quotePrefix="1" applyAlignment="1" applyProtection="1">
      <alignment horizontal="center"/>
      <protection hidden="1"/>
    </xf>
    <xf numFmtId="1" fontId="2" fillId="0" borderId="0" xfId="10" applyNumberFormat="1" applyProtection="1">
      <protection hidden="1"/>
    </xf>
    <xf numFmtId="0" fontId="0" fillId="0" borderId="0" xfId="0" applyProtection="1">
      <protection hidden="1"/>
    </xf>
    <xf numFmtId="0" fontId="66" fillId="0" borderId="0" xfId="0" applyFont="1" applyAlignment="1" applyProtection="1">
      <alignment vertical="center"/>
      <protection hidden="1"/>
    </xf>
    <xf numFmtId="0" fontId="2" fillId="0" borderId="0" xfId="10" quotePrefix="1" applyProtection="1">
      <protection hidden="1"/>
    </xf>
    <xf numFmtId="2" fontId="3" fillId="0" borderId="0" xfId="10" applyNumberFormat="1" applyFont="1" applyProtection="1">
      <protection hidden="1"/>
    </xf>
    <xf numFmtId="43" fontId="3" fillId="6" borderId="34" xfId="10" applyNumberFormat="1" applyFont="1" applyFill="1" applyBorder="1" applyProtection="1">
      <protection hidden="1"/>
    </xf>
    <xf numFmtId="178" fontId="2" fillId="6" borderId="0" xfId="12" applyNumberFormat="1" applyFont="1" applyFill="1" applyBorder="1" applyAlignment="1" applyProtection="1">
      <alignment horizontal="right"/>
      <protection hidden="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16" fillId="0" borderId="5" xfId="0" applyFont="1" applyBorder="1" applyAlignment="1">
      <alignment horizontal="left" vertical="center" wrapText="1"/>
    </xf>
    <xf numFmtId="0" fontId="16" fillId="0" borderId="5" xfId="10" applyFont="1" applyBorder="1" applyAlignment="1">
      <alignment horizontal="left" vertical="center" wrapText="1"/>
    </xf>
    <xf numFmtId="0" fontId="19" fillId="0" borderId="5" xfId="10" applyFont="1" applyBorder="1" applyAlignment="1">
      <alignment horizontal="left" vertical="center" wrapText="1"/>
    </xf>
    <xf numFmtId="49" fontId="2" fillId="0" borderId="2" xfId="0" applyNumberFormat="1" applyFont="1" applyBorder="1" applyAlignment="1" applyProtection="1">
      <alignment horizontal="left" vertical="center"/>
      <protection locked="0"/>
    </xf>
    <xf numFmtId="49" fontId="0" fillId="0" borderId="2" xfId="0" applyNumberFormat="1" applyBorder="1" applyAlignment="1" applyProtection="1">
      <alignment horizontal="left" vertical="center"/>
      <protection locked="0"/>
    </xf>
    <xf numFmtId="49" fontId="0" fillId="0" borderId="3" xfId="0" applyNumberFormat="1" applyBorder="1" applyAlignment="1" applyProtection="1">
      <alignment horizontal="left" vertical="center"/>
      <protection locked="0"/>
    </xf>
    <xf numFmtId="49" fontId="0" fillId="0" borderId="2" xfId="0" applyNumberFormat="1" applyBorder="1" applyAlignment="1" applyProtection="1">
      <alignment horizontal="right" vertical="center"/>
      <protection locked="0"/>
    </xf>
    <xf numFmtId="49" fontId="0" fillId="0" borderId="2" xfId="0" applyNumberFormat="1" applyBorder="1" applyAlignment="1" applyProtection="1">
      <alignment vertical="center"/>
      <protection locked="0"/>
    </xf>
    <xf numFmtId="49" fontId="2" fillId="0" borderId="2" xfId="0" applyNumberFormat="1" applyFont="1" applyBorder="1" applyAlignment="1" applyProtection="1">
      <alignment horizontal="center" vertical="center"/>
      <protection locked="0"/>
    </xf>
    <xf numFmtId="0" fontId="0" fillId="0" borderId="2" xfId="0" applyBorder="1" applyAlignment="1" applyProtection="1">
      <alignment vertical="center"/>
      <protection locked="0"/>
    </xf>
    <xf numFmtId="0" fontId="3" fillId="2" borderId="26" xfId="10" applyFont="1" applyFill="1" applyBorder="1" applyAlignment="1" applyProtection="1">
      <alignment horizontal="center"/>
      <protection hidden="1"/>
    </xf>
    <xf numFmtId="0" fontId="3" fillId="2" borderId="27" xfId="10" applyFont="1" applyFill="1" applyBorder="1" applyAlignment="1" applyProtection="1">
      <alignment horizontal="center"/>
      <protection hidden="1"/>
    </xf>
    <xf numFmtId="0" fontId="3" fillId="2" borderId="28" xfId="10" applyFont="1" applyFill="1" applyBorder="1" applyAlignment="1" applyProtection="1">
      <alignment horizontal="center"/>
      <protection hidden="1"/>
    </xf>
    <xf numFmtId="0" fontId="5" fillId="0" borderId="0" xfId="0" applyFont="1" applyAlignment="1" applyProtection="1">
      <alignment horizontal="left" vertical="center" wrapText="1"/>
      <protection hidden="1"/>
    </xf>
    <xf numFmtId="0" fontId="16" fillId="0" borderId="5" xfId="10" applyFont="1" applyBorder="1" applyAlignment="1" applyProtection="1">
      <alignment horizontal="left" vertical="center" wrapText="1"/>
      <protection hidden="1"/>
    </xf>
    <xf numFmtId="0" fontId="19" fillId="0" borderId="5" xfId="10" applyFont="1" applyBorder="1" applyAlignment="1" applyProtection="1">
      <alignment horizontal="left" vertical="center" wrapText="1"/>
      <protection hidden="1"/>
    </xf>
    <xf numFmtId="0" fontId="16" fillId="6" borderId="29" xfId="10" applyFont="1" applyFill="1" applyBorder="1" applyAlignment="1" applyProtection="1">
      <alignment horizontal="left" vertical="center" wrapText="1"/>
      <protection hidden="1"/>
    </xf>
    <xf numFmtId="0" fontId="16" fillId="6" borderId="5" xfId="10" applyFont="1" applyFill="1" applyBorder="1" applyAlignment="1" applyProtection="1">
      <alignment horizontal="left" vertical="center" wrapText="1"/>
      <protection hidden="1"/>
    </xf>
    <xf numFmtId="0" fontId="16" fillId="6" borderId="30" xfId="10" applyFont="1" applyFill="1" applyBorder="1" applyAlignment="1" applyProtection="1">
      <alignment horizontal="left" vertical="center" wrapText="1"/>
      <protection hidden="1"/>
    </xf>
    <xf numFmtId="49" fontId="2" fillId="6" borderId="2" xfId="0" applyNumberFormat="1" applyFont="1" applyFill="1" applyBorder="1" applyAlignment="1" applyProtection="1">
      <alignment horizontal="left" vertical="center"/>
      <protection locked="0"/>
    </xf>
    <xf numFmtId="49" fontId="0" fillId="6" borderId="2" xfId="0" applyNumberFormat="1" applyFill="1" applyBorder="1" applyAlignment="1" applyProtection="1">
      <alignment horizontal="left" vertical="center"/>
      <protection locked="0"/>
    </xf>
    <xf numFmtId="49" fontId="0" fillId="6" borderId="2" xfId="0" applyNumberFormat="1" applyFill="1" applyBorder="1" applyAlignment="1" applyProtection="1">
      <alignment horizontal="right" vertical="center"/>
      <protection locked="0"/>
    </xf>
    <xf numFmtId="49" fontId="0" fillId="6" borderId="2" xfId="0" applyNumberFormat="1" applyFill="1" applyBorder="1" applyAlignment="1" applyProtection="1">
      <alignment vertical="center"/>
      <protection locked="0"/>
    </xf>
    <xf numFmtId="49" fontId="0" fillId="6" borderId="33" xfId="0" applyNumberFormat="1" applyFill="1" applyBorder="1" applyAlignment="1" applyProtection="1">
      <alignment vertical="center"/>
      <protection locked="0"/>
    </xf>
    <xf numFmtId="49" fontId="0" fillId="6" borderId="3" xfId="0" applyNumberFormat="1" applyFill="1" applyBorder="1" applyAlignment="1" applyProtection="1">
      <alignment horizontal="left" vertical="center"/>
      <protection locked="0"/>
    </xf>
    <xf numFmtId="49" fontId="2" fillId="6" borderId="2" xfId="0" applyNumberFormat="1" applyFont="1" applyFill="1" applyBorder="1" applyAlignment="1" applyProtection="1">
      <alignment horizontal="center" vertical="center"/>
      <protection locked="0"/>
    </xf>
    <xf numFmtId="0" fontId="0" fillId="6" borderId="2" xfId="0" applyFill="1" applyBorder="1" applyAlignment="1" applyProtection="1">
      <alignment vertical="center"/>
      <protection locked="0"/>
    </xf>
    <xf numFmtId="0" fontId="0" fillId="6" borderId="33" xfId="0" applyFill="1" applyBorder="1" applyAlignment="1" applyProtection="1">
      <alignment vertical="center"/>
      <protection locked="0"/>
    </xf>
    <xf numFmtId="0" fontId="2" fillId="4" borderId="6" xfId="0" applyFont="1" applyFill="1" applyBorder="1" applyAlignment="1" applyProtection="1">
      <alignment horizontal="center" vertical="center"/>
      <protection hidden="1"/>
    </xf>
    <xf numFmtId="0" fontId="2" fillId="4" borderId="8" xfId="0" applyFont="1" applyFill="1" applyBorder="1" applyAlignment="1" applyProtection="1">
      <alignment horizontal="center" vertical="center"/>
      <protection hidden="1"/>
    </xf>
    <xf numFmtId="166" fontId="0" fillId="0" borderId="0" xfId="0" applyNumberFormat="1" applyAlignment="1" applyProtection="1">
      <alignment horizontal="left" vertical="center"/>
      <protection hidden="1"/>
    </xf>
    <xf numFmtId="166" fontId="0" fillId="0" borderId="11" xfId="0" applyNumberFormat="1" applyBorder="1" applyAlignment="1" applyProtection="1">
      <alignment horizontal="left" vertical="center"/>
      <protection hidden="1"/>
    </xf>
    <xf numFmtId="0" fontId="5" fillId="0" borderId="6" xfId="0" applyFont="1" applyBorder="1" applyAlignment="1" applyProtection="1">
      <alignment horizontal="left" vertical="center" wrapText="1" indent="1"/>
      <protection hidden="1"/>
    </xf>
    <xf numFmtId="0" fontId="5" fillId="0" borderId="7" xfId="0" applyFont="1" applyBorder="1" applyAlignment="1" applyProtection="1">
      <alignment horizontal="left" vertical="center" wrapText="1" indent="1"/>
      <protection hidden="1"/>
    </xf>
    <xf numFmtId="0" fontId="5" fillId="0" borderId="8" xfId="0" applyFont="1" applyBorder="1" applyAlignment="1" applyProtection="1">
      <alignment horizontal="left" vertical="center" wrapText="1" indent="1"/>
      <protection hidden="1"/>
    </xf>
    <xf numFmtId="0" fontId="0" fillId="4" borderId="35" xfId="0" applyFill="1" applyBorder="1" applyAlignment="1" applyProtection="1">
      <alignment horizontal="center" vertical="center"/>
      <protection hidden="1"/>
    </xf>
    <xf numFmtId="0" fontId="0" fillId="4" borderId="36" xfId="0" applyFill="1" applyBorder="1" applyAlignment="1" applyProtection="1">
      <alignment horizontal="center" vertical="center"/>
      <protection hidden="1"/>
    </xf>
    <xf numFmtId="0" fontId="0" fillId="4" borderId="37" xfId="0" applyFill="1" applyBorder="1" applyAlignment="1" applyProtection="1">
      <alignment horizontal="center" vertical="center"/>
      <protection hidden="1"/>
    </xf>
    <xf numFmtId="0" fontId="2" fillId="4" borderId="9" xfId="0" applyFont="1" applyFill="1" applyBorder="1" applyAlignment="1" applyProtection="1">
      <alignment horizontal="center" vertical="center"/>
      <protection hidden="1"/>
    </xf>
    <xf numFmtId="0" fontId="0" fillId="4" borderId="9" xfId="0" applyFill="1" applyBorder="1" applyAlignment="1" applyProtection="1">
      <alignment horizontal="center" vertical="center"/>
      <protection hidden="1"/>
    </xf>
    <xf numFmtId="0" fontId="0" fillId="4" borderId="7" xfId="0" applyFill="1" applyBorder="1" applyAlignment="1" applyProtection="1">
      <alignment horizontal="center" vertical="center"/>
      <protection hidden="1"/>
    </xf>
    <xf numFmtId="0" fontId="0" fillId="4" borderId="8" xfId="0" applyFill="1" applyBorder="1" applyAlignment="1" applyProtection="1">
      <alignment horizontal="center" vertical="center"/>
      <protection hidden="1"/>
    </xf>
    <xf numFmtId="0" fontId="16" fillId="0" borderId="5" xfId="0" applyFont="1" applyBorder="1" applyAlignment="1" applyProtection="1">
      <alignment horizontal="left" vertical="center" wrapText="1"/>
      <protection hidden="1"/>
    </xf>
    <xf numFmtId="0" fontId="8" fillId="0" borderId="0" xfId="11" applyFont="1" applyAlignment="1">
      <alignment horizontal="left" indent="1"/>
    </xf>
    <xf numFmtId="0" fontId="2" fillId="0" borderId="0" xfId="11" applyFont="1" applyAlignment="1">
      <alignment horizontal="left"/>
    </xf>
    <xf numFmtId="0" fontId="2" fillId="0" borderId="0" xfId="10" applyAlignment="1">
      <alignment horizontal="left"/>
    </xf>
    <xf numFmtId="0" fontId="2" fillId="0" borderId="0" xfId="10" applyAlignment="1">
      <alignment horizontal="center" vertical="center"/>
    </xf>
    <xf numFmtId="0" fontId="2" fillId="0" borderId="0" xfId="10" applyAlignment="1" applyProtection="1">
      <alignment horizontal="center" vertical="center"/>
      <protection locked="0"/>
    </xf>
    <xf numFmtId="0" fontId="0" fillId="0" borderId="0" xfId="0" applyFill="1"/>
  </cellXfs>
  <cellStyles count="13">
    <cellStyle name="Besuchter Hyperlink" xfId="2" builtinId="9" hidden="1"/>
    <cellStyle name="Besuchter Hyperlink" xfId="4" builtinId="9" hidden="1"/>
    <cellStyle name="Besuchter Hyperlink" xfId="6" builtinId="9" hidden="1"/>
    <cellStyle name="Besuchter Hyperlink" xfId="8" builtinId="9" hidden="1"/>
    <cellStyle name="Gut" xfId="9" builtinId="26"/>
    <cellStyle name="Komma" xfId="12" builtinId="3"/>
    <cellStyle name="Link" xfId="1" builtinId="8" hidden="1"/>
    <cellStyle name="Link" xfId="3" builtinId="8" hidden="1"/>
    <cellStyle name="Link" xfId="5" builtinId="8" hidden="1"/>
    <cellStyle name="Link" xfId="7" builtinId="8" hidden="1"/>
    <cellStyle name="Standard" xfId="0" builtinId="0"/>
    <cellStyle name="Standard 2" xfId="10" xr:uid="{00000000-0005-0000-0000-00000A000000}"/>
    <cellStyle name="Standard_IK_BEM_20071" xfId="11" xr:uid="{00000000-0005-0000-0000-00000B000000}"/>
  </cellStyles>
  <dxfs count="15">
    <dxf>
      <fill>
        <patternFill>
          <bgColor theme="0" tint="-0.14996795556505021"/>
        </patternFill>
      </fill>
    </dxf>
    <dxf>
      <font>
        <color theme="0"/>
      </font>
      <fill>
        <patternFill>
          <fgColor theme="0"/>
          <bgColor theme="0"/>
        </patternFill>
      </fill>
    </dxf>
    <dxf>
      <font>
        <color theme="0"/>
      </font>
      <fill>
        <patternFill>
          <bgColor theme="0"/>
        </patternFill>
      </fill>
    </dxf>
    <dxf>
      <font>
        <color rgb="FFFF0000"/>
      </font>
      <fill>
        <patternFill>
          <bgColor theme="0"/>
        </patternFill>
      </fill>
    </dxf>
    <dxf>
      <font>
        <color theme="0"/>
      </font>
      <fill>
        <patternFill>
          <bgColor theme="0"/>
        </patternFill>
      </fill>
    </dxf>
    <dxf>
      <font>
        <color theme="0"/>
      </font>
      <fill>
        <patternFill patternType="solid">
          <fgColor theme="0"/>
          <bgColor theme="0"/>
        </patternFill>
      </fill>
    </dxf>
    <dxf>
      <font>
        <strike/>
        <color rgb="FFFF0000"/>
      </font>
    </dxf>
    <dxf>
      <font>
        <strike/>
      </font>
    </dxf>
    <dxf>
      <font>
        <strike/>
        <color rgb="FFFF0000"/>
      </font>
    </dxf>
    <dxf>
      <font>
        <strike/>
        <color rgb="FFFF0000"/>
      </font>
    </dxf>
    <dxf>
      <font>
        <color theme="0"/>
      </font>
      <fill>
        <patternFill>
          <bgColor theme="0"/>
        </patternFill>
      </fill>
    </dxf>
    <dxf>
      <fill>
        <patternFill>
          <bgColor theme="0" tint="-0.14996795556505021"/>
        </patternFill>
      </fill>
    </dxf>
    <dxf>
      <font>
        <color rgb="FFFF0000"/>
      </font>
      <fill>
        <patternFill>
          <bgColor theme="0"/>
        </patternFill>
      </fill>
    </dxf>
    <dxf>
      <font>
        <color rgb="FFFF0000"/>
      </font>
    </dxf>
    <dxf>
      <fill>
        <patternFill>
          <bgColor indexed="10"/>
        </patternFill>
      </fill>
    </dxf>
  </dxfs>
  <tableStyles count="0" defaultTableStyle="TableStyleMedium2" defaultPivotStyle="PivotStyleLight16"/>
  <colors>
    <mruColors>
      <color rgb="FFDCE6F1"/>
      <color rgb="FFD9D9D9"/>
      <color rgb="FFE6F0F7"/>
      <color rgb="FF006A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1.png"/><Relationship Id="rId5" Type="http://schemas.openxmlformats.org/officeDocument/2006/relationships/image" Target="../media/image6.png"/><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8" Type="http://schemas.openxmlformats.org/officeDocument/2006/relationships/image" Target="../media/image15.png"/><Relationship Id="rId3" Type="http://schemas.openxmlformats.org/officeDocument/2006/relationships/image" Target="../media/image10.png"/><Relationship Id="rId7" Type="http://schemas.openxmlformats.org/officeDocument/2006/relationships/image" Target="../media/image14.png"/><Relationship Id="rId2" Type="http://schemas.openxmlformats.org/officeDocument/2006/relationships/image" Target="../media/image9.png"/><Relationship Id="rId1" Type="http://schemas.openxmlformats.org/officeDocument/2006/relationships/image" Target="../media/image8.png"/><Relationship Id="rId6" Type="http://schemas.openxmlformats.org/officeDocument/2006/relationships/image" Target="../media/image13.png"/><Relationship Id="rId5" Type="http://schemas.openxmlformats.org/officeDocument/2006/relationships/image" Target="../media/image12.png"/><Relationship Id="rId4" Type="http://schemas.openxmlformats.org/officeDocument/2006/relationships/image" Target="../media/image11.png"/><Relationship Id="rId9"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17.emf"/><Relationship Id="rId1" Type="http://schemas.openxmlformats.org/officeDocument/2006/relationships/image" Target="../media/image16.emf"/></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16.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8</xdr:col>
      <xdr:colOff>810758</xdr:colOff>
      <xdr:row>1</xdr:row>
      <xdr:rowOff>115422</xdr:rowOff>
    </xdr:from>
    <xdr:to>
      <xdr:col>12</xdr:col>
      <xdr:colOff>0</xdr:colOff>
      <xdr:row>1</xdr:row>
      <xdr:rowOff>544247</xdr:rowOff>
    </xdr:to>
    <xdr:sp macro="" textlink="">
      <xdr:nvSpPr>
        <xdr:cNvPr id="2" name="Textplatzhalter 11">
          <a:extLst>
            <a:ext uri="{FF2B5EF4-FFF2-40B4-BE49-F238E27FC236}">
              <a16:creationId xmlns:a16="http://schemas.microsoft.com/office/drawing/2014/main" id="{55D87147-1545-41D4-8181-CE1652226806}"/>
            </a:ext>
          </a:extLst>
        </xdr:cNvPr>
        <xdr:cNvSpPr>
          <a:spLocks noGrp="1"/>
        </xdr:cNvSpPr>
      </xdr:nvSpPr>
      <xdr:spPr bwMode="gray">
        <a:xfrm>
          <a:off x="7175699" y="272304"/>
          <a:ext cx="2125183" cy="428825"/>
        </a:xfrm>
        <a:prstGeom prst="rect">
          <a:avLst/>
        </a:prstGeom>
        <a:blipFill dpi="0" rotWithShape="1">
          <a:blip xmlns:r="http://schemas.openxmlformats.org/officeDocument/2006/relationships" r:embed="rId1" cstate="screen">
            <a:extLst>
              <a:ext uri="{28A0092B-C50C-407E-A947-70E740481C1C}">
                <a14:useLocalDpi xmlns:a14="http://schemas.microsoft.com/office/drawing/2010/main"/>
              </a:ext>
            </a:extLst>
          </a:blip>
          <a:srcRect/>
          <a:stretch>
            <a:fillRect/>
          </a:stretch>
        </a:blipFill>
      </xdr:spPr>
      <xdr:txBody>
        <a:bodyPr vert="horz" wrap="square" lIns="0" tIns="0" rIns="0" bIns="0" rtlCol="0">
          <a:noAutofit/>
        </a:bodyPr>
        <a:lstStyle>
          <a:lvl1pPr marL="0" indent="0" algn="l" defTabSz="914400" rtl="0" eaLnBrk="1" latinLnBrk="0" hangingPunct="1">
            <a:lnSpc>
              <a:spcPct val="110000"/>
            </a:lnSpc>
            <a:spcBef>
              <a:spcPts val="0"/>
            </a:spcBef>
            <a:spcAft>
              <a:spcPts val="1000"/>
            </a:spcAft>
            <a:buClr>
              <a:schemeClr val="accent2"/>
            </a:buClr>
            <a:buSzPct val="100000"/>
            <a:buFont typeface="Wingdings" panose="05000000000000000000" pitchFamily="2" charset="2"/>
            <a:buNone/>
            <a:defRPr sz="1800" kern="1200">
              <a:solidFill>
                <a:schemeClr val="tx1"/>
              </a:solidFill>
              <a:latin typeface="+mn-lt"/>
              <a:ea typeface="+mn-ea"/>
              <a:cs typeface="+mn-cs"/>
            </a:defRPr>
          </a:lvl1pPr>
          <a:lvl2pPr marL="72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600" kern="1200">
              <a:solidFill>
                <a:schemeClr val="tx1"/>
              </a:solidFill>
              <a:latin typeface="+mn-lt"/>
              <a:ea typeface="+mn-ea"/>
              <a:cs typeface="+mn-cs"/>
            </a:defRPr>
          </a:lvl2pPr>
          <a:lvl3pPr marL="108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400" kern="1200">
              <a:solidFill>
                <a:schemeClr val="tx1"/>
              </a:solidFill>
              <a:latin typeface="+mn-lt"/>
              <a:ea typeface="+mn-ea"/>
              <a:cs typeface="+mn-cs"/>
            </a:defRPr>
          </a:lvl3pPr>
          <a:lvl4pPr marL="144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200" kern="1200">
              <a:solidFill>
                <a:schemeClr val="tx1"/>
              </a:solidFill>
              <a:latin typeface="+mn-lt"/>
              <a:ea typeface="+mn-ea"/>
              <a:cs typeface="+mn-cs"/>
            </a:defRPr>
          </a:lvl4pPr>
          <a:lvl5pPr marL="180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000" kern="1200">
              <a:solidFill>
                <a:schemeClr val="tx1"/>
              </a:solidFill>
              <a:latin typeface="+mn-lt"/>
              <a:ea typeface="+mn-ea"/>
              <a:cs typeface="+mn-cs"/>
            </a:defRPr>
          </a:lvl5pPr>
          <a:lvl6pPr marL="25146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6pPr>
          <a:lvl7pPr marL="29718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7pPr>
          <a:lvl8pPr marL="34290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8pPr>
          <a:lvl9pPr marL="38862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9pPr>
        </a:lstStyle>
        <a:p>
          <a:endParaRPr lang="de-D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811692</xdr:colOff>
      <xdr:row>1</xdr:row>
      <xdr:rowOff>114300</xdr:rowOff>
    </xdr:from>
    <xdr:to>
      <xdr:col>12</xdr:col>
      <xdr:colOff>0</xdr:colOff>
      <xdr:row>1</xdr:row>
      <xdr:rowOff>533600</xdr:rowOff>
    </xdr:to>
    <xdr:sp macro="" textlink="">
      <xdr:nvSpPr>
        <xdr:cNvPr id="2" name="Textplatzhalter 11">
          <a:extLst>
            <a:ext uri="{FF2B5EF4-FFF2-40B4-BE49-F238E27FC236}">
              <a16:creationId xmlns:a16="http://schemas.microsoft.com/office/drawing/2014/main" id="{2A089956-C00D-4EE3-8FC9-AAB1C3C08C10}"/>
            </a:ext>
          </a:extLst>
        </xdr:cNvPr>
        <xdr:cNvSpPr>
          <a:spLocks noGrp="1"/>
        </xdr:cNvSpPr>
      </xdr:nvSpPr>
      <xdr:spPr bwMode="gray">
        <a:xfrm>
          <a:off x="7183917" y="276225"/>
          <a:ext cx="2122008" cy="419300"/>
        </a:xfrm>
        <a:prstGeom prst="rect">
          <a:avLst/>
        </a:prstGeom>
        <a:blipFill dpi="0" rotWithShape="1">
          <a:blip xmlns:r="http://schemas.openxmlformats.org/officeDocument/2006/relationships" r:embed="rId1" cstate="screen">
            <a:extLst>
              <a:ext uri="{28A0092B-C50C-407E-A947-70E740481C1C}">
                <a14:useLocalDpi xmlns:a14="http://schemas.microsoft.com/office/drawing/2010/main"/>
              </a:ext>
            </a:extLst>
          </a:blip>
          <a:srcRect/>
          <a:stretch>
            <a:fillRect/>
          </a:stretch>
        </a:blipFill>
      </xdr:spPr>
      <xdr:txBody>
        <a:bodyPr vert="horz" wrap="square" lIns="0" tIns="0" rIns="0" bIns="0" rtlCol="0">
          <a:noAutofit/>
        </a:bodyPr>
        <a:lstStyle>
          <a:lvl1pPr marL="0" indent="0" algn="l" defTabSz="914400" rtl="0" eaLnBrk="1" latinLnBrk="0" hangingPunct="1">
            <a:lnSpc>
              <a:spcPct val="110000"/>
            </a:lnSpc>
            <a:spcBef>
              <a:spcPts val="0"/>
            </a:spcBef>
            <a:spcAft>
              <a:spcPts val="1000"/>
            </a:spcAft>
            <a:buClr>
              <a:schemeClr val="accent2"/>
            </a:buClr>
            <a:buSzPct val="100000"/>
            <a:buFont typeface="Wingdings" panose="05000000000000000000" pitchFamily="2" charset="2"/>
            <a:buNone/>
            <a:defRPr sz="1800" kern="1200">
              <a:solidFill>
                <a:schemeClr val="tx1"/>
              </a:solidFill>
              <a:latin typeface="+mn-lt"/>
              <a:ea typeface="+mn-ea"/>
              <a:cs typeface="+mn-cs"/>
            </a:defRPr>
          </a:lvl1pPr>
          <a:lvl2pPr marL="72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600" kern="1200">
              <a:solidFill>
                <a:schemeClr val="tx1"/>
              </a:solidFill>
              <a:latin typeface="+mn-lt"/>
              <a:ea typeface="+mn-ea"/>
              <a:cs typeface="+mn-cs"/>
            </a:defRPr>
          </a:lvl2pPr>
          <a:lvl3pPr marL="108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400" kern="1200">
              <a:solidFill>
                <a:schemeClr val="tx1"/>
              </a:solidFill>
              <a:latin typeface="+mn-lt"/>
              <a:ea typeface="+mn-ea"/>
              <a:cs typeface="+mn-cs"/>
            </a:defRPr>
          </a:lvl3pPr>
          <a:lvl4pPr marL="144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200" kern="1200">
              <a:solidFill>
                <a:schemeClr val="tx1"/>
              </a:solidFill>
              <a:latin typeface="+mn-lt"/>
              <a:ea typeface="+mn-ea"/>
              <a:cs typeface="+mn-cs"/>
            </a:defRPr>
          </a:lvl4pPr>
          <a:lvl5pPr marL="180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000" kern="1200">
              <a:solidFill>
                <a:schemeClr val="tx1"/>
              </a:solidFill>
              <a:latin typeface="+mn-lt"/>
              <a:ea typeface="+mn-ea"/>
              <a:cs typeface="+mn-cs"/>
            </a:defRPr>
          </a:lvl5pPr>
          <a:lvl6pPr marL="25146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6pPr>
          <a:lvl7pPr marL="29718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7pPr>
          <a:lvl8pPr marL="34290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8pPr>
          <a:lvl9pPr marL="38862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9pPr>
        </a:lstStyle>
        <a:p>
          <a:endParaRPr lang="de-DE"/>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811692</xdr:colOff>
      <xdr:row>1</xdr:row>
      <xdr:rowOff>114300</xdr:rowOff>
    </xdr:from>
    <xdr:to>
      <xdr:col>12</xdr:col>
      <xdr:colOff>0</xdr:colOff>
      <xdr:row>1</xdr:row>
      <xdr:rowOff>533600</xdr:rowOff>
    </xdr:to>
    <xdr:sp macro="" textlink="">
      <xdr:nvSpPr>
        <xdr:cNvPr id="2" name="Textplatzhalter 11">
          <a:extLst>
            <a:ext uri="{FF2B5EF4-FFF2-40B4-BE49-F238E27FC236}">
              <a16:creationId xmlns:a16="http://schemas.microsoft.com/office/drawing/2014/main" id="{2D91682C-6D56-4347-BD64-285E161AA735}"/>
            </a:ext>
          </a:extLst>
        </xdr:cNvPr>
        <xdr:cNvSpPr>
          <a:spLocks noGrp="1"/>
        </xdr:cNvSpPr>
      </xdr:nvSpPr>
      <xdr:spPr bwMode="gray">
        <a:xfrm>
          <a:off x="6917217" y="276225"/>
          <a:ext cx="1998183" cy="419300"/>
        </a:xfrm>
        <a:prstGeom prst="rect">
          <a:avLst/>
        </a:prstGeom>
        <a:blipFill dpi="0" rotWithShape="1">
          <a:blip xmlns:r="http://schemas.openxmlformats.org/officeDocument/2006/relationships" r:embed="rId1" cstate="screen">
            <a:extLst>
              <a:ext uri="{28A0092B-C50C-407E-A947-70E740481C1C}">
                <a14:useLocalDpi xmlns:a14="http://schemas.microsoft.com/office/drawing/2010/main"/>
              </a:ext>
            </a:extLst>
          </a:blip>
          <a:srcRect/>
          <a:stretch>
            <a:fillRect/>
          </a:stretch>
        </a:blipFill>
      </xdr:spPr>
      <xdr:txBody>
        <a:bodyPr vert="horz" wrap="square" lIns="0" tIns="0" rIns="0" bIns="0" rtlCol="0">
          <a:noAutofit/>
        </a:bodyPr>
        <a:lstStyle>
          <a:lvl1pPr marL="0" indent="0" algn="l" defTabSz="914400" rtl="0" eaLnBrk="1" latinLnBrk="0" hangingPunct="1">
            <a:lnSpc>
              <a:spcPct val="110000"/>
            </a:lnSpc>
            <a:spcBef>
              <a:spcPts val="0"/>
            </a:spcBef>
            <a:spcAft>
              <a:spcPts val="1000"/>
            </a:spcAft>
            <a:buClr>
              <a:schemeClr val="accent2"/>
            </a:buClr>
            <a:buSzPct val="100000"/>
            <a:buFont typeface="Wingdings" panose="05000000000000000000" pitchFamily="2" charset="2"/>
            <a:buNone/>
            <a:defRPr sz="1800" kern="1200">
              <a:solidFill>
                <a:schemeClr val="tx1"/>
              </a:solidFill>
              <a:latin typeface="+mn-lt"/>
              <a:ea typeface="+mn-ea"/>
              <a:cs typeface="+mn-cs"/>
            </a:defRPr>
          </a:lvl1pPr>
          <a:lvl2pPr marL="72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600" kern="1200">
              <a:solidFill>
                <a:schemeClr val="tx1"/>
              </a:solidFill>
              <a:latin typeface="+mn-lt"/>
              <a:ea typeface="+mn-ea"/>
              <a:cs typeface="+mn-cs"/>
            </a:defRPr>
          </a:lvl2pPr>
          <a:lvl3pPr marL="108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400" kern="1200">
              <a:solidFill>
                <a:schemeClr val="tx1"/>
              </a:solidFill>
              <a:latin typeface="+mn-lt"/>
              <a:ea typeface="+mn-ea"/>
              <a:cs typeface="+mn-cs"/>
            </a:defRPr>
          </a:lvl3pPr>
          <a:lvl4pPr marL="144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200" kern="1200">
              <a:solidFill>
                <a:schemeClr val="tx1"/>
              </a:solidFill>
              <a:latin typeface="+mn-lt"/>
              <a:ea typeface="+mn-ea"/>
              <a:cs typeface="+mn-cs"/>
            </a:defRPr>
          </a:lvl4pPr>
          <a:lvl5pPr marL="180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000" kern="1200">
              <a:solidFill>
                <a:schemeClr val="tx1"/>
              </a:solidFill>
              <a:latin typeface="+mn-lt"/>
              <a:ea typeface="+mn-ea"/>
              <a:cs typeface="+mn-cs"/>
            </a:defRPr>
          </a:lvl5pPr>
          <a:lvl6pPr marL="25146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6pPr>
          <a:lvl7pPr marL="29718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7pPr>
          <a:lvl8pPr marL="34290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8pPr>
          <a:lvl9pPr marL="38862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9pPr>
        </a:lstStyle>
        <a:p>
          <a:endParaRPr lang="de-DE"/>
        </a:p>
      </xdr:txBody>
    </xdr:sp>
    <xdr:clientData/>
  </xdr:twoCellAnchor>
  <xdr:twoCellAnchor>
    <xdr:from>
      <xdr:col>5</xdr:col>
      <xdr:colOff>579783</xdr:colOff>
      <xdr:row>10</xdr:row>
      <xdr:rowOff>57978</xdr:rowOff>
    </xdr:from>
    <xdr:to>
      <xdr:col>10</xdr:col>
      <xdr:colOff>93863</xdr:colOff>
      <xdr:row>12</xdr:row>
      <xdr:rowOff>127093</xdr:rowOff>
    </xdr:to>
    <xdr:pic>
      <xdr:nvPicPr>
        <xdr:cNvPr id="7" name="Grafik 6">
          <a:extLst>
            <a:ext uri="{FF2B5EF4-FFF2-40B4-BE49-F238E27FC236}">
              <a16:creationId xmlns:a16="http://schemas.microsoft.com/office/drawing/2014/main" id="{C07D459A-19B6-1586-DD8E-A850C8A3EDCD}"/>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507935" y="2294282"/>
          <a:ext cx="3373776" cy="4666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538371</xdr:colOff>
      <xdr:row>13</xdr:row>
      <xdr:rowOff>185146</xdr:rowOff>
    </xdr:from>
    <xdr:to>
      <xdr:col>10</xdr:col>
      <xdr:colOff>298175</xdr:colOff>
      <xdr:row>14</xdr:row>
      <xdr:rowOff>145359</xdr:rowOff>
    </xdr:to>
    <xdr:pic>
      <xdr:nvPicPr>
        <xdr:cNvPr id="8" name="Grafik 7">
          <a:extLst>
            <a:ext uri="{FF2B5EF4-FFF2-40B4-BE49-F238E27FC236}">
              <a16:creationId xmlns:a16="http://schemas.microsoft.com/office/drawing/2014/main" id="{CA051433-A936-C363-9A9A-E951FA0BDB60}"/>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466523" y="3017798"/>
          <a:ext cx="3619500" cy="1589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530086</xdr:colOff>
      <xdr:row>15</xdr:row>
      <xdr:rowOff>41413</xdr:rowOff>
    </xdr:from>
    <xdr:to>
      <xdr:col>10</xdr:col>
      <xdr:colOff>548427</xdr:colOff>
      <xdr:row>17</xdr:row>
      <xdr:rowOff>167671</xdr:rowOff>
    </xdr:to>
    <xdr:pic>
      <xdr:nvPicPr>
        <xdr:cNvPr id="9" name="Grafik 8">
          <a:extLst>
            <a:ext uri="{FF2B5EF4-FFF2-40B4-BE49-F238E27FC236}">
              <a16:creationId xmlns:a16="http://schemas.microsoft.com/office/drawing/2014/main" id="{EE813240-8729-98AE-F35B-088EF91624E1}"/>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458238" y="3321326"/>
          <a:ext cx="3878037" cy="4906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530088</xdr:colOff>
      <xdr:row>18</xdr:row>
      <xdr:rowOff>157370</xdr:rowOff>
    </xdr:from>
    <xdr:to>
      <xdr:col>11</xdr:col>
      <xdr:colOff>248066</xdr:colOff>
      <xdr:row>21</xdr:row>
      <xdr:rowOff>182218</xdr:rowOff>
    </xdr:to>
    <xdr:pic>
      <xdr:nvPicPr>
        <xdr:cNvPr id="10" name="Grafik 9">
          <a:extLst>
            <a:ext uri="{FF2B5EF4-FFF2-40B4-BE49-F238E27FC236}">
              <a16:creationId xmlns:a16="http://schemas.microsoft.com/office/drawing/2014/main" id="{228E82B3-4EDE-AD74-F2BF-BA34257DDD02}"/>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458240" y="4000500"/>
          <a:ext cx="4298261" cy="62119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419385</xdr:colOff>
      <xdr:row>24</xdr:row>
      <xdr:rowOff>84817</xdr:rowOff>
    </xdr:from>
    <xdr:to>
      <xdr:col>10</xdr:col>
      <xdr:colOff>361118</xdr:colOff>
      <xdr:row>31</xdr:row>
      <xdr:rowOff>11157</xdr:rowOff>
    </xdr:to>
    <xdr:pic>
      <xdr:nvPicPr>
        <xdr:cNvPr id="2" name="Grafik 1">
          <a:extLst>
            <a:ext uri="{FF2B5EF4-FFF2-40B4-BE49-F238E27FC236}">
              <a16:creationId xmlns:a16="http://schemas.microsoft.com/office/drawing/2014/main" id="{62B16627-675E-4EF1-9925-B003657D9459}"/>
            </a:ext>
          </a:extLst>
        </xdr:cNvPr>
        <xdr:cNvPicPr>
          <a:picLocks noChangeAspect="1"/>
        </xdr:cNvPicPr>
      </xdr:nvPicPr>
      <xdr:blipFill rotWithShape="1">
        <a:blip xmlns:r="http://schemas.openxmlformats.org/officeDocument/2006/relationships" r:embed="rId1"/>
        <a:srcRect t="37849"/>
        <a:stretch/>
      </xdr:blipFill>
      <xdr:spPr>
        <a:xfrm>
          <a:off x="4191285" y="5161642"/>
          <a:ext cx="4237508" cy="1056640"/>
        </a:xfrm>
        <a:prstGeom prst="rect">
          <a:avLst/>
        </a:prstGeom>
      </xdr:spPr>
    </xdr:pic>
    <xdr:clientData/>
  </xdr:twoCellAnchor>
  <xdr:twoCellAnchor>
    <xdr:from>
      <xdr:col>7</xdr:col>
      <xdr:colOff>419100</xdr:colOff>
      <xdr:row>1</xdr:row>
      <xdr:rowOff>59872</xdr:rowOff>
    </xdr:from>
    <xdr:to>
      <xdr:col>11</xdr:col>
      <xdr:colOff>266035</xdr:colOff>
      <xdr:row>1</xdr:row>
      <xdr:rowOff>475997</xdr:rowOff>
    </xdr:to>
    <xdr:sp macro="" textlink="">
      <xdr:nvSpPr>
        <xdr:cNvPr id="3" name="Textplatzhalter 11">
          <a:extLst>
            <a:ext uri="{FF2B5EF4-FFF2-40B4-BE49-F238E27FC236}">
              <a16:creationId xmlns:a16="http://schemas.microsoft.com/office/drawing/2014/main" id="{FDBB63CB-204B-4092-9639-65280C9BA47A}"/>
            </a:ext>
          </a:extLst>
        </xdr:cNvPr>
        <xdr:cNvSpPr>
          <a:spLocks noGrp="1"/>
        </xdr:cNvSpPr>
      </xdr:nvSpPr>
      <xdr:spPr bwMode="gray">
        <a:xfrm>
          <a:off x="6629400" y="223158"/>
          <a:ext cx="2127492" cy="416125"/>
        </a:xfrm>
        <a:prstGeom prst="rect">
          <a:avLst/>
        </a:prstGeom>
        <a:blipFill dpi="0" rotWithShape="1">
          <a:blip xmlns:r="http://schemas.openxmlformats.org/officeDocument/2006/relationships" r:embed="rId2" cstate="screen">
            <a:extLst>
              <a:ext uri="{28A0092B-C50C-407E-A947-70E740481C1C}">
                <a14:useLocalDpi xmlns:a14="http://schemas.microsoft.com/office/drawing/2010/main"/>
              </a:ext>
            </a:extLst>
          </a:blip>
          <a:srcRect/>
          <a:stretch>
            <a:fillRect/>
          </a:stretch>
        </a:blipFill>
      </xdr:spPr>
      <xdr:txBody>
        <a:bodyPr vert="horz" wrap="square" lIns="0" tIns="0" rIns="0" bIns="0" rtlCol="0">
          <a:noAutofit/>
        </a:bodyPr>
        <a:lstStyle>
          <a:lvl1pPr marL="0" indent="0" algn="l" defTabSz="914400" rtl="0" eaLnBrk="1" latinLnBrk="0" hangingPunct="1">
            <a:lnSpc>
              <a:spcPct val="110000"/>
            </a:lnSpc>
            <a:spcBef>
              <a:spcPts val="0"/>
            </a:spcBef>
            <a:spcAft>
              <a:spcPts val="1000"/>
            </a:spcAft>
            <a:buClr>
              <a:schemeClr val="accent2"/>
            </a:buClr>
            <a:buSzPct val="100000"/>
            <a:buFont typeface="Wingdings" panose="05000000000000000000" pitchFamily="2" charset="2"/>
            <a:buNone/>
            <a:defRPr sz="1800" kern="1200">
              <a:solidFill>
                <a:schemeClr val="tx1"/>
              </a:solidFill>
              <a:latin typeface="+mn-lt"/>
              <a:ea typeface="+mn-ea"/>
              <a:cs typeface="+mn-cs"/>
            </a:defRPr>
          </a:lvl1pPr>
          <a:lvl2pPr marL="72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600" kern="1200">
              <a:solidFill>
                <a:schemeClr val="tx1"/>
              </a:solidFill>
              <a:latin typeface="+mn-lt"/>
              <a:ea typeface="+mn-ea"/>
              <a:cs typeface="+mn-cs"/>
            </a:defRPr>
          </a:lvl2pPr>
          <a:lvl3pPr marL="108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400" kern="1200">
              <a:solidFill>
                <a:schemeClr val="tx1"/>
              </a:solidFill>
              <a:latin typeface="+mn-lt"/>
              <a:ea typeface="+mn-ea"/>
              <a:cs typeface="+mn-cs"/>
            </a:defRPr>
          </a:lvl3pPr>
          <a:lvl4pPr marL="144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200" kern="1200">
              <a:solidFill>
                <a:schemeClr val="tx1"/>
              </a:solidFill>
              <a:latin typeface="+mn-lt"/>
              <a:ea typeface="+mn-ea"/>
              <a:cs typeface="+mn-cs"/>
            </a:defRPr>
          </a:lvl4pPr>
          <a:lvl5pPr marL="180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000" kern="1200">
              <a:solidFill>
                <a:schemeClr val="tx1"/>
              </a:solidFill>
              <a:latin typeface="+mn-lt"/>
              <a:ea typeface="+mn-ea"/>
              <a:cs typeface="+mn-cs"/>
            </a:defRPr>
          </a:lvl5pPr>
          <a:lvl6pPr marL="25146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6pPr>
          <a:lvl7pPr marL="29718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7pPr>
          <a:lvl8pPr marL="34290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8pPr>
          <a:lvl9pPr marL="38862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9pPr>
        </a:lstStyle>
        <a:p>
          <a:endParaRPr lang="de-DE"/>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933450</xdr:colOff>
      <xdr:row>32</xdr:row>
      <xdr:rowOff>23243</xdr:rowOff>
    </xdr:from>
    <xdr:to>
      <xdr:col>10</xdr:col>
      <xdr:colOff>490699</xdr:colOff>
      <xdr:row>40</xdr:row>
      <xdr:rowOff>112058</xdr:rowOff>
    </xdr:to>
    <xdr:pic>
      <xdr:nvPicPr>
        <xdr:cNvPr id="2" name="Picture 6">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03009" y="6208890"/>
          <a:ext cx="4420602" cy="1399903"/>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editAs="oneCell">
    <xdr:from>
      <xdr:col>0</xdr:col>
      <xdr:colOff>0</xdr:colOff>
      <xdr:row>32</xdr:row>
      <xdr:rowOff>108372</xdr:rowOff>
    </xdr:from>
    <xdr:to>
      <xdr:col>4</xdr:col>
      <xdr:colOff>493885</xdr:colOff>
      <xdr:row>35</xdr:row>
      <xdr:rowOff>149725</xdr:rowOff>
    </xdr:to>
    <xdr:pic>
      <xdr:nvPicPr>
        <xdr:cNvPr id="4" name="Grafik 2">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a:stretch>
          <a:fillRect/>
        </a:stretch>
      </xdr:blipFill>
      <xdr:spPr>
        <a:xfrm>
          <a:off x="0" y="5737647"/>
          <a:ext cx="3465685" cy="552528"/>
        </a:xfrm>
        <a:prstGeom prst="rect">
          <a:avLst/>
        </a:prstGeom>
      </xdr:spPr>
    </xdr:pic>
    <xdr:clientData/>
  </xdr:twoCellAnchor>
  <xdr:twoCellAnchor editAs="oneCell">
    <xdr:from>
      <xdr:col>1</xdr:col>
      <xdr:colOff>9525</xdr:colOff>
      <xdr:row>44</xdr:row>
      <xdr:rowOff>59238</xdr:rowOff>
    </xdr:from>
    <xdr:to>
      <xdr:col>2</xdr:col>
      <xdr:colOff>510355</xdr:colOff>
      <xdr:row>47</xdr:row>
      <xdr:rowOff>591</xdr:rowOff>
    </xdr:to>
    <xdr:pic>
      <xdr:nvPicPr>
        <xdr:cNvPr id="5" name="Grafik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3"/>
        <a:stretch>
          <a:fillRect/>
        </a:stretch>
      </xdr:blipFill>
      <xdr:spPr>
        <a:xfrm>
          <a:off x="238125" y="7631613"/>
          <a:ext cx="1481905" cy="379504"/>
        </a:xfrm>
        <a:prstGeom prst="rect">
          <a:avLst/>
        </a:prstGeom>
      </xdr:spPr>
    </xdr:pic>
    <xdr:clientData/>
  </xdr:twoCellAnchor>
  <xdr:twoCellAnchor editAs="oneCell">
    <xdr:from>
      <xdr:col>1</xdr:col>
      <xdr:colOff>9525</xdr:colOff>
      <xdr:row>46</xdr:row>
      <xdr:rowOff>95250</xdr:rowOff>
    </xdr:from>
    <xdr:to>
      <xdr:col>3</xdr:col>
      <xdr:colOff>110224</xdr:colOff>
      <xdr:row>48</xdr:row>
      <xdr:rowOff>71714</xdr:rowOff>
    </xdr:to>
    <xdr:pic>
      <xdr:nvPicPr>
        <xdr:cNvPr id="6" name="Grafik 4">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4"/>
        <a:stretch>
          <a:fillRect/>
        </a:stretch>
      </xdr:blipFill>
      <xdr:spPr>
        <a:xfrm>
          <a:off x="238125" y="7943850"/>
          <a:ext cx="2119999" cy="335238"/>
        </a:xfrm>
        <a:prstGeom prst="rect">
          <a:avLst/>
        </a:prstGeom>
      </xdr:spPr>
    </xdr:pic>
    <xdr:clientData/>
  </xdr:twoCellAnchor>
  <xdr:twoCellAnchor editAs="oneCell">
    <xdr:from>
      <xdr:col>4</xdr:col>
      <xdr:colOff>923925</xdr:colOff>
      <xdr:row>50</xdr:row>
      <xdr:rowOff>38100</xdr:rowOff>
    </xdr:from>
    <xdr:to>
      <xdr:col>8</xdr:col>
      <xdr:colOff>491138</xdr:colOff>
      <xdr:row>53</xdr:row>
      <xdr:rowOff>78039</xdr:rowOff>
    </xdr:to>
    <xdr:pic>
      <xdr:nvPicPr>
        <xdr:cNvPr id="7" name="Grafik 5">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5"/>
        <a:stretch>
          <a:fillRect/>
        </a:stretch>
      </xdr:blipFill>
      <xdr:spPr>
        <a:xfrm>
          <a:off x="3895725" y="8648700"/>
          <a:ext cx="2700938" cy="525714"/>
        </a:xfrm>
        <a:prstGeom prst="rect">
          <a:avLst/>
        </a:prstGeom>
      </xdr:spPr>
    </xdr:pic>
    <xdr:clientData/>
  </xdr:twoCellAnchor>
  <xdr:twoCellAnchor editAs="oneCell">
    <xdr:from>
      <xdr:col>8</xdr:col>
      <xdr:colOff>15867</xdr:colOff>
      <xdr:row>55</xdr:row>
      <xdr:rowOff>19051</xdr:rowOff>
    </xdr:from>
    <xdr:to>
      <xdr:col>11</xdr:col>
      <xdr:colOff>635</xdr:colOff>
      <xdr:row>58</xdr:row>
      <xdr:rowOff>35506</xdr:rowOff>
    </xdr:to>
    <xdr:pic>
      <xdr:nvPicPr>
        <xdr:cNvPr id="8" name="Grafik 6">
          <a:extLst>
            <a:ext uri="{FF2B5EF4-FFF2-40B4-BE49-F238E27FC236}">
              <a16:creationId xmlns:a16="http://schemas.microsoft.com/office/drawing/2014/main" id="{00000000-0008-0000-0200-000008000000}"/>
            </a:ext>
          </a:extLst>
        </xdr:cNvPr>
        <xdr:cNvPicPr>
          <a:picLocks noChangeAspect="1"/>
        </xdr:cNvPicPr>
      </xdr:nvPicPr>
      <xdr:blipFill>
        <a:blip xmlns:r="http://schemas.openxmlformats.org/officeDocument/2006/relationships" r:embed="rId6"/>
        <a:stretch>
          <a:fillRect/>
        </a:stretch>
      </xdr:blipFill>
      <xdr:spPr>
        <a:xfrm>
          <a:off x="6121392" y="9477376"/>
          <a:ext cx="2413643" cy="521280"/>
        </a:xfrm>
        <a:prstGeom prst="rect">
          <a:avLst/>
        </a:prstGeom>
      </xdr:spPr>
    </xdr:pic>
    <xdr:clientData/>
  </xdr:twoCellAnchor>
  <xdr:twoCellAnchor editAs="oneCell">
    <xdr:from>
      <xdr:col>6</xdr:col>
      <xdr:colOff>714375</xdr:colOff>
      <xdr:row>71</xdr:row>
      <xdr:rowOff>28576</xdr:rowOff>
    </xdr:from>
    <xdr:to>
      <xdr:col>10</xdr:col>
      <xdr:colOff>207301</xdr:colOff>
      <xdr:row>74</xdr:row>
      <xdr:rowOff>2309</xdr:rowOff>
    </xdr:to>
    <xdr:pic>
      <xdr:nvPicPr>
        <xdr:cNvPr id="9" name="Grafik 7">
          <a:extLst>
            <a:ext uri="{FF2B5EF4-FFF2-40B4-BE49-F238E27FC236}">
              <a16:creationId xmlns:a16="http://schemas.microsoft.com/office/drawing/2014/main" id="{00000000-0008-0000-0200-000009000000}"/>
            </a:ext>
          </a:extLst>
        </xdr:cNvPr>
        <xdr:cNvPicPr>
          <a:picLocks noChangeAspect="1"/>
        </xdr:cNvPicPr>
      </xdr:nvPicPr>
      <xdr:blipFill rotWithShape="1">
        <a:blip xmlns:r="http://schemas.openxmlformats.org/officeDocument/2006/relationships" r:embed="rId7"/>
        <a:srcRect b="9179"/>
        <a:stretch/>
      </xdr:blipFill>
      <xdr:spPr>
        <a:xfrm>
          <a:off x="5372100" y="11677651"/>
          <a:ext cx="2636176" cy="526182"/>
        </a:xfrm>
        <a:prstGeom prst="rect">
          <a:avLst/>
        </a:prstGeom>
      </xdr:spPr>
    </xdr:pic>
    <xdr:clientData/>
  </xdr:twoCellAnchor>
  <xdr:twoCellAnchor editAs="oneCell">
    <xdr:from>
      <xdr:col>13</xdr:col>
      <xdr:colOff>136376</xdr:colOff>
      <xdr:row>34</xdr:row>
      <xdr:rowOff>37802</xdr:rowOff>
    </xdr:from>
    <xdr:to>
      <xdr:col>17</xdr:col>
      <xdr:colOff>662517</xdr:colOff>
      <xdr:row>37</xdr:row>
      <xdr:rowOff>42333</xdr:rowOff>
    </xdr:to>
    <xdr:pic>
      <xdr:nvPicPr>
        <xdr:cNvPr id="10" name="Grafik 9">
          <a:extLst>
            <a:ext uri="{FF2B5EF4-FFF2-40B4-BE49-F238E27FC236}">
              <a16:creationId xmlns:a16="http://schemas.microsoft.com/office/drawing/2014/main" id="{8184967F-8B8E-458C-9E59-7424C989C833}"/>
            </a:ext>
          </a:extLst>
        </xdr:cNvPr>
        <xdr:cNvPicPr>
          <a:picLocks noChangeAspect="1"/>
        </xdr:cNvPicPr>
      </xdr:nvPicPr>
      <xdr:blipFill>
        <a:blip xmlns:r="http://schemas.openxmlformats.org/officeDocument/2006/relationships" r:embed="rId8"/>
        <a:stretch>
          <a:fillRect/>
        </a:stretch>
      </xdr:blipFill>
      <xdr:spPr>
        <a:xfrm>
          <a:off x="9788376" y="6377219"/>
          <a:ext cx="2932791" cy="480781"/>
        </a:xfrm>
        <a:prstGeom prst="rect">
          <a:avLst/>
        </a:prstGeom>
      </xdr:spPr>
    </xdr:pic>
    <xdr:clientData/>
  </xdr:twoCellAnchor>
  <xdr:twoCellAnchor>
    <xdr:from>
      <xdr:col>8</xdr:col>
      <xdr:colOff>816599</xdr:colOff>
      <xdr:row>1</xdr:row>
      <xdr:rowOff>103908</xdr:rowOff>
    </xdr:from>
    <xdr:to>
      <xdr:col>12</xdr:col>
      <xdr:colOff>0</xdr:colOff>
      <xdr:row>1</xdr:row>
      <xdr:rowOff>520033</xdr:rowOff>
    </xdr:to>
    <xdr:sp macro="" textlink="">
      <xdr:nvSpPr>
        <xdr:cNvPr id="11" name="Textplatzhalter 11">
          <a:extLst>
            <a:ext uri="{FF2B5EF4-FFF2-40B4-BE49-F238E27FC236}">
              <a16:creationId xmlns:a16="http://schemas.microsoft.com/office/drawing/2014/main" id="{C37E0D0E-C2A1-4FE2-AEEC-B8435FDAE0FB}"/>
            </a:ext>
          </a:extLst>
        </xdr:cNvPr>
        <xdr:cNvSpPr>
          <a:spLocks noGrp="1"/>
        </xdr:cNvSpPr>
      </xdr:nvSpPr>
      <xdr:spPr bwMode="gray">
        <a:xfrm>
          <a:off x="7198349" y="268431"/>
          <a:ext cx="2118833" cy="416125"/>
        </a:xfrm>
        <a:prstGeom prst="rect">
          <a:avLst/>
        </a:prstGeom>
        <a:blipFill dpi="0" rotWithShape="1">
          <a:blip xmlns:r="http://schemas.openxmlformats.org/officeDocument/2006/relationships" r:embed="rId9" cstate="screen">
            <a:extLst>
              <a:ext uri="{28A0092B-C50C-407E-A947-70E740481C1C}">
                <a14:useLocalDpi xmlns:a14="http://schemas.microsoft.com/office/drawing/2010/main"/>
              </a:ext>
            </a:extLst>
          </a:blip>
          <a:srcRect/>
          <a:stretch>
            <a:fillRect/>
          </a:stretch>
        </a:blipFill>
      </xdr:spPr>
      <xdr:txBody>
        <a:bodyPr vert="horz" wrap="square" lIns="0" tIns="0" rIns="0" bIns="0" rtlCol="0">
          <a:noAutofit/>
        </a:bodyPr>
        <a:lstStyle>
          <a:lvl1pPr marL="0" indent="0" algn="l" defTabSz="914400" rtl="0" eaLnBrk="1" latinLnBrk="0" hangingPunct="1">
            <a:lnSpc>
              <a:spcPct val="110000"/>
            </a:lnSpc>
            <a:spcBef>
              <a:spcPts val="0"/>
            </a:spcBef>
            <a:spcAft>
              <a:spcPts val="1000"/>
            </a:spcAft>
            <a:buClr>
              <a:schemeClr val="accent2"/>
            </a:buClr>
            <a:buSzPct val="100000"/>
            <a:buFont typeface="Wingdings" panose="05000000000000000000" pitchFamily="2" charset="2"/>
            <a:buNone/>
            <a:defRPr sz="1800" kern="1200">
              <a:solidFill>
                <a:schemeClr val="tx1"/>
              </a:solidFill>
              <a:latin typeface="+mn-lt"/>
              <a:ea typeface="+mn-ea"/>
              <a:cs typeface="+mn-cs"/>
            </a:defRPr>
          </a:lvl1pPr>
          <a:lvl2pPr marL="72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600" kern="1200">
              <a:solidFill>
                <a:schemeClr val="tx1"/>
              </a:solidFill>
              <a:latin typeface="+mn-lt"/>
              <a:ea typeface="+mn-ea"/>
              <a:cs typeface="+mn-cs"/>
            </a:defRPr>
          </a:lvl2pPr>
          <a:lvl3pPr marL="108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400" kern="1200">
              <a:solidFill>
                <a:schemeClr val="tx1"/>
              </a:solidFill>
              <a:latin typeface="+mn-lt"/>
              <a:ea typeface="+mn-ea"/>
              <a:cs typeface="+mn-cs"/>
            </a:defRPr>
          </a:lvl3pPr>
          <a:lvl4pPr marL="144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200" kern="1200">
              <a:solidFill>
                <a:schemeClr val="tx1"/>
              </a:solidFill>
              <a:latin typeface="+mn-lt"/>
              <a:ea typeface="+mn-ea"/>
              <a:cs typeface="+mn-cs"/>
            </a:defRPr>
          </a:lvl4pPr>
          <a:lvl5pPr marL="180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000" kern="1200">
              <a:solidFill>
                <a:schemeClr val="tx1"/>
              </a:solidFill>
              <a:latin typeface="+mn-lt"/>
              <a:ea typeface="+mn-ea"/>
              <a:cs typeface="+mn-cs"/>
            </a:defRPr>
          </a:lvl5pPr>
          <a:lvl6pPr marL="25146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6pPr>
          <a:lvl7pPr marL="29718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7pPr>
          <a:lvl8pPr marL="34290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8pPr>
          <a:lvl9pPr marL="38862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9pPr>
        </a:lstStyle>
        <a:p>
          <a:endParaRPr lang="de-DE"/>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0</xdr:colOff>
      <xdr:row>1</xdr:row>
      <xdr:rowOff>131599</xdr:rowOff>
    </xdr:from>
    <xdr:to>
      <xdr:col>12</xdr:col>
      <xdr:colOff>9313</xdr:colOff>
      <xdr:row>1</xdr:row>
      <xdr:rowOff>550899</xdr:rowOff>
    </xdr:to>
    <xdr:sp macro="" textlink="">
      <xdr:nvSpPr>
        <xdr:cNvPr id="2" name="Textplatzhalter 11">
          <a:extLst>
            <a:ext uri="{FF2B5EF4-FFF2-40B4-BE49-F238E27FC236}">
              <a16:creationId xmlns:a16="http://schemas.microsoft.com/office/drawing/2014/main" id="{29DBFFF9-C7B2-4702-8146-5138804CE5D6}"/>
            </a:ext>
          </a:extLst>
        </xdr:cNvPr>
        <xdr:cNvSpPr>
          <a:spLocks noGrp="1"/>
        </xdr:cNvSpPr>
      </xdr:nvSpPr>
      <xdr:spPr bwMode="gray">
        <a:xfrm>
          <a:off x="7384551" y="292133"/>
          <a:ext cx="2128358" cy="419300"/>
        </a:xfrm>
        <a:prstGeom prst="rect">
          <a:avLst/>
        </a:prstGeom>
        <a:blipFill dpi="0" rotWithShape="1">
          <a:blip xmlns:r="http://schemas.openxmlformats.org/officeDocument/2006/relationships" r:embed="rId1" cstate="screen">
            <a:extLst>
              <a:ext uri="{28A0092B-C50C-407E-A947-70E740481C1C}">
                <a14:useLocalDpi xmlns:a14="http://schemas.microsoft.com/office/drawing/2010/main"/>
              </a:ext>
            </a:extLst>
          </a:blip>
          <a:srcRect/>
          <a:stretch>
            <a:fillRect/>
          </a:stretch>
        </a:blipFill>
      </xdr:spPr>
      <xdr:txBody>
        <a:bodyPr vert="horz" wrap="square" lIns="0" tIns="0" rIns="0" bIns="0" rtlCol="0">
          <a:noAutofit/>
        </a:bodyPr>
        <a:lstStyle>
          <a:lvl1pPr marL="0" indent="0" algn="l" defTabSz="914400" rtl="0" eaLnBrk="1" latinLnBrk="0" hangingPunct="1">
            <a:lnSpc>
              <a:spcPct val="110000"/>
            </a:lnSpc>
            <a:spcBef>
              <a:spcPts val="0"/>
            </a:spcBef>
            <a:spcAft>
              <a:spcPts val="1000"/>
            </a:spcAft>
            <a:buClr>
              <a:schemeClr val="accent2"/>
            </a:buClr>
            <a:buSzPct val="100000"/>
            <a:buFont typeface="Wingdings" panose="05000000000000000000" pitchFamily="2" charset="2"/>
            <a:buNone/>
            <a:defRPr sz="1800" kern="1200">
              <a:solidFill>
                <a:schemeClr val="tx1"/>
              </a:solidFill>
              <a:latin typeface="+mn-lt"/>
              <a:ea typeface="+mn-ea"/>
              <a:cs typeface="+mn-cs"/>
            </a:defRPr>
          </a:lvl1pPr>
          <a:lvl2pPr marL="72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600" kern="1200">
              <a:solidFill>
                <a:schemeClr val="tx1"/>
              </a:solidFill>
              <a:latin typeface="+mn-lt"/>
              <a:ea typeface="+mn-ea"/>
              <a:cs typeface="+mn-cs"/>
            </a:defRPr>
          </a:lvl2pPr>
          <a:lvl3pPr marL="108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400" kern="1200">
              <a:solidFill>
                <a:schemeClr val="tx1"/>
              </a:solidFill>
              <a:latin typeface="+mn-lt"/>
              <a:ea typeface="+mn-ea"/>
              <a:cs typeface="+mn-cs"/>
            </a:defRPr>
          </a:lvl3pPr>
          <a:lvl4pPr marL="144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200" kern="1200">
              <a:solidFill>
                <a:schemeClr val="tx1"/>
              </a:solidFill>
              <a:latin typeface="+mn-lt"/>
              <a:ea typeface="+mn-ea"/>
              <a:cs typeface="+mn-cs"/>
            </a:defRPr>
          </a:lvl4pPr>
          <a:lvl5pPr marL="180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000" kern="1200">
              <a:solidFill>
                <a:schemeClr val="tx1"/>
              </a:solidFill>
              <a:latin typeface="+mn-lt"/>
              <a:ea typeface="+mn-ea"/>
              <a:cs typeface="+mn-cs"/>
            </a:defRPr>
          </a:lvl5pPr>
          <a:lvl6pPr marL="25146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6pPr>
          <a:lvl7pPr marL="29718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7pPr>
          <a:lvl8pPr marL="34290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8pPr>
          <a:lvl9pPr marL="38862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9pPr>
        </a:lstStyle>
        <a:p>
          <a:endParaRPr lang="de-DE"/>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2067</xdr:colOff>
      <xdr:row>1</xdr:row>
      <xdr:rowOff>124372</xdr:rowOff>
    </xdr:from>
    <xdr:to>
      <xdr:col>12</xdr:col>
      <xdr:colOff>0</xdr:colOff>
      <xdr:row>1</xdr:row>
      <xdr:rowOff>556372</xdr:rowOff>
    </xdr:to>
    <xdr:sp macro="" textlink="">
      <xdr:nvSpPr>
        <xdr:cNvPr id="2" name="Textplatzhalter 11">
          <a:extLst>
            <a:ext uri="{FF2B5EF4-FFF2-40B4-BE49-F238E27FC236}">
              <a16:creationId xmlns:a16="http://schemas.microsoft.com/office/drawing/2014/main" id="{ADEFE970-E0E5-484C-8400-C9B68A80BEA2}"/>
            </a:ext>
          </a:extLst>
        </xdr:cNvPr>
        <xdr:cNvSpPr>
          <a:spLocks noGrp="1"/>
        </xdr:cNvSpPr>
      </xdr:nvSpPr>
      <xdr:spPr bwMode="gray">
        <a:xfrm>
          <a:off x="7406719" y="290024"/>
          <a:ext cx="2126564" cy="432000"/>
        </a:xfrm>
        <a:prstGeom prst="rect">
          <a:avLst/>
        </a:prstGeom>
        <a:blipFill dpi="0" rotWithShape="1">
          <a:blip xmlns:r="http://schemas.openxmlformats.org/officeDocument/2006/relationships" r:embed="rId1" cstate="screen">
            <a:extLst>
              <a:ext uri="{28A0092B-C50C-407E-A947-70E740481C1C}">
                <a14:useLocalDpi xmlns:a14="http://schemas.microsoft.com/office/drawing/2010/main"/>
              </a:ext>
            </a:extLst>
          </a:blip>
          <a:srcRect/>
          <a:stretch>
            <a:fillRect/>
          </a:stretch>
        </a:blipFill>
      </xdr:spPr>
      <xdr:txBody>
        <a:bodyPr vert="horz" wrap="square" lIns="0" tIns="0" rIns="0" bIns="0" rtlCol="0">
          <a:noAutofit/>
        </a:bodyPr>
        <a:lstStyle>
          <a:lvl1pPr marL="0" indent="0" algn="l" defTabSz="914400" rtl="0" eaLnBrk="1" latinLnBrk="0" hangingPunct="1">
            <a:lnSpc>
              <a:spcPct val="110000"/>
            </a:lnSpc>
            <a:spcBef>
              <a:spcPts val="0"/>
            </a:spcBef>
            <a:spcAft>
              <a:spcPts val="1000"/>
            </a:spcAft>
            <a:buClr>
              <a:schemeClr val="accent2"/>
            </a:buClr>
            <a:buSzPct val="100000"/>
            <a:buFont typeface="Wingdings" panose="05000000000000000000" pitchFamily="2" charset="2"/>
            <a:buNone/>
            <a:defRPr sz="1800" kern="1200">
              <a:solidFill>
                <a:schemeClr val="tx1"/>
              </a:solidFill>
              <a:latin typeface="+mn-lt"/>
              <a:ea typeface="+mn-ea"/>
              <a:cs typeface="+mn-cs"/>
            </a:defRPr>
          </a:lvl1pPr>
          <a:lvl2pPr marL="72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600" kern="1200">
              <a:solidFill>
                <a:schemeClr val="tx1"/>
              </a:solidFill>
              <a:latin typeface="+mn-lt"/>
              <a:ea typeface="+mn-ea"/>
              <a:cs typeface="+mn-cs"/>
            </a:defRPr>
          </a:lvl2pPr>
          <a:lvl3pPr marL="108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400" kern="1200">
              <a:solidFill>
                <a:schemeClr val="tx1"/>
              </a:solidFill>
              <a:latin typeface="+mn-lt"/>
              <a:ea typeface="+mn-ea"/>
              <a:cs typeface="+mn-cs"/>
            </a:defRPr>
          </a:lvl3pPr>
          <a:lvl4pPr marL="144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200" kern="1200">
              <a:solidFill>
                <a:schemeClr val="tx1"/>
              </a:solidFill>
              <a:latin typeface="+mn-lt"/>
              <a:ea typeface="+mn-ea"/>
              <a:cs typeface="+mn-cs"/>
            </a:defRPr>
          </a:lvl4pPr>
          <a:lvl5pPr marL="180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000" kern="1200">
              <a:solidFill>
                <a:schemeClr val="tx1"/>
              </a:solidFill>
              <a:latin typeface="+mn-lt"/>
              <a:ea typeface="+mn-ea"/>
              <a:cs typeface="+mn-cs"/>
            </a:defRPr>
          </a:lvl5pPr>
          <a:lvl6pPr marL="25146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6pPr>
          <a:lvl7pPr marL="29718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7pPr>
          <a:lvl8pPr marL="34290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8pPr>
          <a:lvl9pPr marL="38862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9pPr>
        </a:lstStyle>
        <a:p>
          <a:endParaRPr lang="de-DE"/>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419100</xdr:colOff>
      <xdr:row>10</xdr:row>
      <xdr:rowOff>114300</xdr:rowOff>
    </xdr:from>
    <xdr:to>
      <xdr:col>8</xdr:col>
      <xdr:colOff>790575</xdr:colOff>
      <xdr:row>23</xdr:row>
      <xdr:rowOff>104775</xdr:rowOff>
    </xdr:to>
    <xdr:grpSp>
      <xdr:nvGrpSpPr>
        <xdr:cNvPr id="2" name="Gruppieren 5">
          <a:extLst>
            <a:ext uri="{FF2B5EF4-FFF2-40B4-BE49-F238E27FC236}">
              <a16:creationId xmlns:a16="http://schemas.microsoft.com/office/drawing/2014/main" id="{00000000-0008-0000-0500-000002000000}"/>
            </a:ext>
          </a:extLst>
        </xdr:cNvPr>
        <xdr:cNvGrpSpPr>
          <a:grpSpLocks/>
        </xdr:cNvGrpSpPr>
      </xdr:nvGrpSpPr>
      <xdr:grpSpPr bwMode="auto">
        <a:xfrm>
          <a:off x="4356100" y="2252133"/>
          <a:ext cx="2530475" cy="2604559"/>
          <a:chOff x="609527" y="9798434"/>
          <a:chExt cx="3114675" cy="1930017"/>
        </a:xfrm>
      </xdr:grpSpPr>
      <xdr:pic>
        <xdr:nvPicPr>
          <xdr:cNvPr id="3" name="Grafik 2">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527" y="9798434"/>
            <a:ext cx="3114675" cy="1752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4" name="Textfeld 3">
            <a:extLst>
              <a:ext uri="{FF2B5EF4-FFF2-40B4-BE49-F238E27FC236}">
                <a16:creationId xmlns:a16="http://schemas.microsoft.com/office/drawing/2014/main" id="{00000000-0008-0000-0500-000004000000}"/>
              </a:ext>
            </a:extLst>
          </xdr:cNvPr>
          <xdr:cNvSpPr txBox="1"/>
        </xdr:nvSpPr>
        <xdr:spPr>
          <a:xfrm>
            <a:off x="1134472" y="11260138"/>
            <a:ext cx="1399854" cy="4683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00">
                <a:latin typeface="Arial" panose="020B0604020202020204" pitchFamily="34" charset="0"/>
                <a:cs typeface="Arial" panose="020B0604020202020204" pitchFamily="34" charset="0"/>
              </a:rPr>
              <a:t>A [m²]= Grunsrissfläche</a:t>
            </a:r>
          </a:p>
        </xdr:txBody>
      </xdr:sp>
      <xdr:sp macro="" textlink="">
        <xdr:nvSpPr>
          <xdr:cNvPr id="5" name="Textfeld 4">
            <a:extLst>
              <a:ext uri="{FF2B5EF4-FFF2-40B4-BE49-F238E27FC236}">
                <a16:creationId xmlns:a16="http://schemas.microsoft.com/office/drawing/2014/main" id="{00000000-0008-0000-0500-000005000000}"/>
              </a:ext>
            </a:extLst>
          </xdr:cNvPr>
          <xdr:cNvSpPr txBox="1"/>
        </xdr:nvSpPr>
        <xdr:spPr>
          <a:xfrm>
            <a:off x="1111141" y="10429947"/>
            <a:ext cx="1329861" cy="4115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00">
                <a:latin typeface="Arial" panose="020B0604020202020204" pitchFamily="34" charset="0"/>
                <a:cs typeface="Arial" panose="020B0604020202020204" pitchFamily="34" charset="0"/>
              </a:rPr>
              <a:t>U [m]= Umfang</a:t>
            </a:r>
          </a:p>
        </xdr:txBody>
      </xdr:sp>
    </xdr:grpSp>
    <xdr:clientData/>
  </xdr:twoCellAnchor>
  <xdr:twoCellAnchor>
    <xdr:from>
      <xdr:col>5</xdr:col>
      <xdr:colOff>240415</xdr:colOff>
      <xdr:row>23</xdr:row>
      <xdr:rowOff>147591</xdr:rowOff>
    </xdr:from>
    <xdr:to>
      <xdr:col>9</xdr:col>
      <xdr:colOff>204011</xdr:colOff>
      <xdr:row>33</xdr:row>
      <xdr:rowOff>101241</xdr:rowOff>
    </xdr:to>
    <xdr:pic>
      <xdr:nvPicPr>
        <xdr:cNvPr id="6" name="Grafik 1">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74240" y="4919616"/>
          <a:ext cx="3116371" cy="187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95250</xdr:colOff>
      <xdr:row>34</xdr:row>
      <xdr:rowOff>0</xdr:rowOff>
    </xdr:from>
    <xdr:to>
      <xdr:col>8</xdr:col>
      <xdr:colOff>314326</xdr:colOff>
      <xdr:row>36</xdr:row>
      <xdr:rowOff>142875</xdr:rowOff>
    </xdr:to>
    <xdr:sp macro="" textlink="">
      <xdr:nvSpPr>
        <xdr:cNvPr id="7" name="Textfeld 6">
          <a:extLst>
            <a:ext uri="{FF2B5EF4-FFF2-40B4-BE49-F238E27FC236}">
              <a16:creationId xmlns:a16="http://schemas.microsoft.com/office/drawing/2014/main" id="{00000000-0008-0000-0500-000007000000}"/>
            </a:ext>
          </a:extLst>
        </xdr:cNvPr>
        <xdr:cNvSpPr txBox="1"/>
      </xdr:nvSpPr>
      <xdr:spPr bwMode="auto">
        <a:xfrm>
          <a:off x="4752975" y="6858000"/>
          <a:ext cx="1666876" cy="466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00">
              <a:latin typeface="Arial" panose="020B0604020202020204" pitchFamily="34" charset="0"/>
              <a:cs typeface="Arial" panose="020B0604020202020204" pitchFamily="34" charset="0"/>
            </a:rPr>
            <a:t>Anordnung der Klippse bei Sprungzahl t=3</a:t>
          </a:r>
        </a:p>
      </xdr:txBody>
    </xdr:sp>
    <xdr:clientData/>
  </xdr:twoCellAnchor>
  <xdr:twoCellAnchor>
    <xdr:from>
      <xdr:col>8</xdr:col>
      <xdr:colOff>809575</xdr:colOff>
      <xdr:row>1</xdr:row>
      <xdr:rowOff>111122</xdr:rowOff>
    </xdr:from>
    <xdr:to>
      <xdr:col>12</xdr:col>
      <xdr:colOff>0</xdr:colOff>
      <xdr:row>1</xdr:row>
      <xdr:rowOff>543122</xdr:rowOff>
    </xdr:to>
    <xdr:sp macro="" textlink="">
      <xdr:nvSpPr>
        <xdr:cNvPr id="8" name="Textplatzhalter 11">
          <a:extLst>
            <a:ext uri="{FF2B5EF4-FFF2-40B4-BE49-F238E27FC236}">
              <a16:creationId xmlns:a16="http://schemas.microsoft.com/office/drawing/2014/main" id="{2874014C-6D7C-4EF7-9CDC-3F7E69709E23}"/>
            </a:ext>
          </a:extLst>
        </xdr:cNvPr>
        <xdr:cNvSpPr>
          <a:spLocks noGrp="1"/>
        </xdr:cNvSpPr>
      </xdr:nvSpPr>
      <xdr:spPr bwMode="gray">
        <a:xfrm>
          <a:off x="7180742" y="269872"/>
          <a:ext cx="2122008" cy="432000"/>
        </a:xfrm>
        <a:prstGeom prst="rect">
          <a:avLst/>
        </a:prstGeom>
        <a:blipFill dpi="0" rotWithShape="1">
          <a:blip xmlns:r="http://schemas.openxmlformats.org/officeDocument/2006/relationships" r:embed="rId3" cstate="screen">
            <a:extLst>
              <a:ext uri="{28A0092B-C50C-407E-A947-70E740481C1C}">
                <a14:useLocalDpi xmlns:a14="http://schemas.microsoft.com/office/drawing/2010/main"/>
              </a:ext>
            </a:extLst>
          </a:blip>
          <a:srcRect/>
          <a:stretch>
            <a:fillRect/>
          </a:stretch>
        </a:blipFill>
      </xdr:spPr>
      <xdr:txBody>
        <a:bodyPr vert="horz" wrap="square" lIns="0" tIns="0" rIns="0" bIns="0" rtlCol="0">
          <a:noAutofit/>
        </a:bodyPr>
        <a:lstStyle>
          <a:lvl1pPr marL="0" indent="0" algn="l" defTabSz="914400" rtl="0" eaLnBrk="1" latinLnBrk="0" hangingPunct="1">
            <a:lnSpc>
              <a:spcPct val="110000"/>
            </a:lnSpc>
            <a:spcBef>
              <a:spcPts val="0"/>
            </a:spcBef>
            <a:spcAft>
              <a:spcPts val="1000"/>
            </a:spcAft>
            <a:buClr>
              <a:schemeClr val="accent2"/>
            </a:buClr>
            <a:buSzPct val="100000"/>
            <a:buFont typeface="Wingdings" panose="05000000000000000000" pitchFamily="2" charset="2"/>
            <a:buNone/>
            <a:defRPr sz="1800" kern="1200">
              <a:solidFill>
                <a:schemeClr val="tx1"/>
              </a:solidFill>
              <a:latin typeface="+mn-lt"/>
              <a:ea typeface="+mn-ea"/>
              <a:cs typeface="+mn-cs"/>
            </a:defRPr>
          </a:lvl1pPr>
          <a:lvl2pPr marL="72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600" kern="1200">
              <a:solidFill>
                <a:schemeClr val="tx1"/>
              </a:solidFill>
              <a:latin typeface="+mn-lt"/>
              <a:ea typeface="+mn-ea"/>
              <a:cs typeface="+mn-cs"/>
            </a:defRPr>
          </a:lvl2pPr>
          <a:lvl3pPr marL="108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400" kern="1200">
              <a:solidFill>
                <a:schemeClr val="tx1"/>
              </a:solidFill>
              <a:latin typeface="+mn-lt"/>
              <a:ea typeface="+mn-ea"/>
              <a:cs typeface="+mn-cs"/>
            </a:defRPr>
          </a:lvl3pPr>
          <a:lvl4pPr marL="144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200" kern="1200">
              <a:solidFill>
                <a:schemeClr val="tx1"/>
              </a:solidFill>
              <a:latin typeface="+mn-lt"/>
              <a:ea typeface="+mn-ea"/>
              <a:cs typeface="+mn-cs"/>
            </a:defRPr>
          </a:lvl4pPr>
          <a:lvl5pPr marL="180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000" kern="1200">
              <a:solidFill>
                <a:schemeClr val="tx1"/>
              </a:solidFill>
              <a:latin typeface="+mn-lt"/>
              <a:ea typeface="+mn-ea"/>
              <a:cs typeface="+mn-cs"/>
            </a:defRPr>
          </a:lvl5pPr>
          <a:lvl6pPr marL="25146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6pPr>
          <a:lvl7pPr marL="29718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7pPr>
          <a:lvl8pPr marL="34290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8pPr>
          <a:lvl9pPr marL="38862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9pPr>
        </a:lstStyle>
        <a:p>
          <a:endParaRPr lang="de-DE"/>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314325</xdr:colOff>
      <xdr:row>11</xdr:row>
      <xdr:rowOff>95250</xdr:rowOff>
    </xdr:from>
    <xdr:to>
      <xdr:col>9</xdr:col>
      <xdr:colOff>704850</xdr:colOff>
      <xdr:row>22</xdr:row>
      <xdr:rowOff>19050</xdr:rowOff>
    </xdr:to>
    <xdr:pic>
      <xdr:nvPicPr>
        <xdr:cNvPr id="2" name="Grafik 2">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72050" y="2466975"/>
          <a:ext cx="2819400" cy="2124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647699</xdr:colOff>
      <xdr:row>15</xdr:row>
      <xdr:rowOff>133349</xdr:rowOff>
    </xdr:from>
    <xdr:to>
      <xdr:col>8</xdr:col>
      <xdr:colOff>723900</xdr:colOff>
      <xdr:row>17</xdr:row>
      <xdr:rowOff>104774</xdr:rowOff>
    </xdr:to>
    <xdr:sp macro="" textlink="">
      <xdr:nvSpPr>
        <xdr:cNvPr id="3" name="Textfeld 2">
          <a:extLst>
            <a:ext uri="{FF2B5EF4-FFF2-40B4-BE49-F238E27FC236}">
              <a16:creationId xmlns:a16="http://schemas.microsoft.com/office/drawing/2014/main" id="{00000000-0008-0000-0600-000003000000}"/>
            </a:ext>
          </a:extLst>
        </xdr:cNvPr>
        <xdr:cNvSpPr txBox="1"/>
      </xdr:nvSpPr>
      <xdr:spPr>
        <a:xfrm>
          <a:off x="5305424" y="3305174"/>
          <a:ext cx="1524001" cy="371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00">
              <a:latin typeface="Arial" panose="020B0604020202020204" pitchFamily="34" charset="0"/>
              <a:cs typeface="Arial" panose="020B0604020202020204" pitchFamily="34" charset="0"/>
            </a:rPr>
            <a:t>A [m²]= Grunsrissfläche</a:t>
          </a:r>
        </a:p>
      </xdr:txBody>
    </xdr:sp>
    <xdr:clientData/>
  </xdr:twoCellAnchor>
  <xdr:twoCellAnchor>
    <xdr:from>
      <xdr:col>8</xdr:col>
      <xdr:colOff>803225</xdr:colOff>
      <xdr:row>1</xdr:row>
      <xdr:rowOff>111122</xdr:rowOff>
    </xdr:from>
    <xdr:to>
      <xdr:col>12</xdr:col>
      <xdr:colOff>0</xdr:colOff>
      <xdr:row>1</xdr:row>
      <xdr:rowOff>524072</xdr:rowOff>
    </xdr:to>
    <xdr:sp macro="" textlink="">
      <xdr:nvSpPr>
        <xdr:cNvPr id="4" name="Textplatzhalter 11">
          <a:extLst>
            <a:ext uri="{FF2B5EF4-FFF2-40B4-BE49-F238E27FC236}">
              <a16:creationId xmlns:a16="http://schemas.microsoft.com/office/drawing/2014/main" id="{90AE5304-C8E4-4B2E-8E0E-72DBE1AD8B5D}"/>
            </a:ext>
          </a:extLst>
        </xdr:cNvPr>
        <xdr:cNvSpPr>
          <a:spLocks noGrp="1"/>
        </xdr:cNvSpPr>
      </xdr:nvSpPr>
      <xdr:spPr bwMode="gray">
        <a:xfrm>
          <a:off x="7174392" y="269872"/>
          <a:ext cx="2128358" cy="412950"/>
        </a:xfrm>
        <a:prstGeom prst="rect">
          <a:avLst/>
        </a:prstGeom>
        <a:blipFill dpi="0" rotWithShape="1">
          <a:blip xmlns:r="http://schemas.openxmlformats.org/officeDocument/2006/relationships" r:embed="rId2" cstate="screen">
            <a:extLst>
              <a:ext uri="{28A0092B-C50C-407E-A947-70E740481C1C}">
                <a14:useLocalDpi xmlns:a14="http://schemas.microsoft.com/office/drawing/2010/main"/>
              </a:ext>
            </a:extLst>
          </a:blip>
          <a:srcRect/>
          <a:stretch>
            <a:fillRect/>
          </a:stretch>
        </a:blipFill>
      </xdr:spPr>
      <xdr:txBody>
        <a:bodyPr vert="horz" wrap="square" lIns="0" tIns="0" rIns="0" bIns="0" rtlCol="0">
          <a:noAutofit/>
        </a:bodyPr>
        <a:lstStyle>
          <a:lvl1pPr marL="0" indent="0" algn="l" defTabSz="914400" rtl="0" eaLnBrk="1" latinLnBrk="0" hangingPunct="1">
            <a:lnSpc>
              <a:spcPct val="110000"/>
            </a:lnSpc>
            <a:spcBef>
              <a:spcPts val="0"/>
            </a:spcBef>
            <a:spcAft>
              <a:spcPts val="1000"/>
            </a:spcAft>
            <a:buClr>
              <a:schemeClr val="accent2"/>
            </a:buClr>
            <a:buSzPct val="100000"/>
            <a:buFont typeface="Wingdings" panose="05000000000000000000" pitchFamily="2" charset="2"/>
            <a:buNone/>
            <a:defRPr sz="1800" kern="1200">
              <a:solidFill>
                <a:schemeClr val="tx1"/>
              </a:solidFill>
              <a:latin typeface="+mn-lt"/>
              <a:ea typeface="+mn-ea"/>
              <a:cs typeface="+mn-cs"/>
            </a:defRPr>
          </a:lvl1pPr>
          <a:lvl2pPr marL="72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600" kern="1200">
              <a:solidFill>
                <a:schemeClr val="tx1"/>
              </a:solidFill>
              <a:latin typeface="+mn-lt"/>
              <a:ea typeface="+mn-ea"/>
              <a:cs typeface="+mn-cs"/>
            </a:defRPr>
          </a:lvl2pPr>
          <a:lvl3pPr marL="108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400" kern="1200">
              <a:solidFill>
                <a:schemeClr val="tx1"/>
              </a:solidFill>
              <a:latin typeface="+mn-lt"/>
              <a:ea typeface="+mn-ea"/>
              <a:cs typeface="+mn-cs"/>
            </a:defRPr>
          </a:lvl3pPr>
          <a:lvl4pPr marL="144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200" kern="1200">
              <a:solidFill>
                <a:schemeClr val="tx1"/>
              </a:solidFill>
              <a:latin typeface="+mn-lt"/>
              <a:ea typeface="+mn-ea"/>
              <a:cs typeface="+mn-cs"/>
            </a:defRPr>
          </a:lvl4pPr>
          <a:lvl5pPr marL="1800000" indent="-270000" algn="l" defTabSz="914400" rtl="0" eaLnBrk="1" latinLnBrk="0" hangingPunct="1">
            <a:lnSpc>
              <a:spcPct val="110000"/>
            </a:lnSpc>
            <a:spcBef>
              <a:spcPts val="0"/>
            </a:spcBef>
            <a:spcAft>
              <a:spcPts val="1000"/>
            </a:spcAft>
            <a:buClr>
              <a:schemeClr val="accent2"/>
            </a:buClr>
            <a:buFont typeface="Wingdings" panose="05000000000000000000" pitchFamily="2" charset="2"/>
            <a:buChar char="§"/>
            <a:defRPr sz="1000" kern="1200">
              <a:solidFill>
                <a:schemeClr val="tx1"/>
              </a:solidFill>
              <a:latin typeface="+mn-lt"/>
              <a:ea typeface="+mn-ea"/>
              <a:cs typeface="+mn-cs"/>
            </a:defRPr>
          </a:lvl5pPr>
          <a:lvl6pPr marL="25146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6pPr>
          <a:lvl7pPr marL="29718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7pPr>
          <a:lvl8pPr marL="34290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8pPr>
          <a:lvl9pPr marL="3886200" indent="-228600" algn="l" defTabSz="914400" rtl="0" eaLnBrk="1" latinLnBrk="0" hangingPunct="1">
            <a:spcBef>
              <a:spcPct val="20000"/>
            </a:spcBef>
            <a:buFont typeface="Arial" panose="020B0604020202020204" pitchFamily="34" charset="0"/>
            <a:buChar char="•"/>
            <a:defRPr sz="2000" kern="1200">
              <a:solidFill>
                <a:schemeClr val="tx1"/>
              </a:solidFill>
              <a:latin typeface="+mn-lt"/>
              <a:ea typeface="+mn-ea"/>
              <a:cs typeface="+mn-cs"/>
            </a:defRPr>
          </a:lvl9pPr>
        </a:lstStyle>
        <a:p>
          <a:endParaRPr lang="de-DE"/>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kumente%20und%20Einstellungen\kolbpete\Desktop\Kopie%20von%20Bemessung_IK_Sonder_040706a_d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ingabe"/>
      <sheetName val="Statik"/>
    </sheetNames>
    <sheetDataSet>
      <sheetData sheetId="0">
        <row r="97">
          <cell r="K97" t="str">
            <v>Lager</v>
          </cell>
          <cell r="L97" t="str">
            <v>Höhe</v>
          </cell>
          <cell r="M97" t="str">
            <v>Breite</v>
          </cell>
        </row>
        <row r="98">
          <cell r="K98">
            <v>12</v>
          </cell>
          <cell r="L98">
            <v>40</v>
          </cell>
          <cell r="M98">
            <v>40</v>
          </cell>
        </row>
        <row r="99">
          <cell r="K99">
            <v>14</v>
          </cell>
          <cell r="L99">
            <v>40</v>
          </cell>
          <cell r="M99">
            <v>60</v>
          </cell>
        </row>
      </sheetData>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2:Z35"/>
  <sheetViews>
    <sheetView showGridLines="0" showRowColHeaders="0" tabSelected="1" showRuler="0" zoomScale="85" zoomScaleNormal="85" zoomScalePageLayoutView="90" workbookViewId="0">
      <selection activeCell="N28" sqref="N28"/>
    </sheetView>
  </sheetViews>
  <sheetFormatPr baseColWidth="10" defaultColWidth="10.85546875" defaultRowHeight="12.75"/>
  <cols>
    <col min="1" max="1" width="3.42578125" style="1" customWidth="1"/>
    <col min="2" max="2" width="14.85546875" style="1" customWidth="1"/>
    <col min="3" max="3" width="15.42578125" style="1" customWidth="1"/>
    <col min="4" max="4" width="10.85546875" style="1"/>
    <col min="5" max="5" width="14.42578125" style="1" customWidth="1"/>
    <col min="6" max="8" width="10.85546875" style="1"/>
    <col min="9" max="9" width="14.7109375" style="1" customWidth="1"/>
    <col min="10" max="11" width="10.85546875" style="1"/>
    <col min="12" max="13" width="5.7109375" style="1" customWidth="1"/>
    <col min="14" max="16" width="10.7109375" style="1" customWidth="1"/>
    <col min="17" max="17" width="2.7109375" style="1" customWidth="1"/>
    <col min="18" max="19" width="10.7109375" style="1" customWidth="1"/>
    <col min="20" max="20" width="2.7109375" style="1" customWidth="1"/>
    <col min="21" max="23" width="10.7109375" style="1" customWidth="1"/>
    <col min="24" max="16384" width="10.85546875" style="1"/>
  </cols>
  <sheetData>
    <row r="2" spans="1:26" ht="50.1" customHeight="1">
      <c r="A2" s="283" t="s">
        <v>343</v>
      </c>
      <c r="B2" s="283"/>
      <c r="C2" s="283"/>
      <c r="D2" s="283"/>
      <c r="E2" s="283"/>
      <c r="F2" s="283"/>
      <c r="G2" s="283"/>
      <c r="H2" s="283"/>
      <c r="I2" s="283"/>
      <c r="J2" s="283"/>
      <c r="K2" s="283"/>
      <c r="L2" s="283"/>
    </row>
    <row r="3" spans="1:26" ht="12.75" customHeight="1">
      <c r="A3" s="13"/>
      <c r="B3" s="13"/>
      <c r="C3" s="14"/>
      <c r="D3" s="14"/>
      <c r="E3" s="14"/>
      <c r="F3" s="14"/>
      <c r="G3" s="14"/>
      <c r="H3" s="14"/>
      <c r="I3" s="14"/>
      <c r="J3" s="14"/>
      <c r="K3" s="14"/>
      <c r="L3" s="14"/>
      <c r="O3" s="10" t="s">
        <v>113</v>
      </c>
    </row>
    <row r="4" spans="1:26" ht="6" customHeight="1">
      <c r="A4" s="109"/>
      <c r="B4" s="110"/>
      <c r="C4" s="110"/>
      <c r="D4" s="110"/>
      <c r="E4" s="110"/>
      <c r="F4" s="110"/>
      <c r="G4" s="110"/>
      <c r="H4" s="110"/>
      <c r="I4" s="110"/>
      <c r="J4" s="110"/>
      <c r="K4" s="110"/>
      <c r="L4" s="110"/>
    </row>
    <row r="5" spans="1:26" ht="20.100000000000001" customHeight="1">
      <c r="A5" s="109"/>
      <c r="B5" s="6" t="s">
        <v>344</v>
      </c>
      <c r="C5" s="110"/>
      <c r="D5" s="110"/>
      <c r="E5" s="110"/>
      <c r="F5" s="110"/>
      <c r="G5" s="110"/>
      <c r="H5" s="110"/>
      <c r="I5" s="110"/>
      <c r="J5" s="110"/>
      <c r="K5" s="110"/>
      <c r="L5" s="110"/>
      <c r="O5" s="2" t="s">
        <v>114</v>
      </c>
    </row>
    <row r="6" spans="1:26" ht="20.100000000000001" customHeight="1">
      <c r="A6" s="109"/>
      <c r="B6" s="6" t="s">
        <v>345</v>
      </c>
      <c r="C6" s="110"/>
      <c r="D6" s="110"/>
      <c r="E6" s="110"/>
      <c r="F6" s="110"/>
      <c r="G6" s="110"/>
      <c r="H6" s="110"/>
      <c r="I6" s="110"/>
      <c r="J6" s="110"/>
      <c r="K6" s="110"/>
      <c r="L6" s="110"/>
      <c r="O6" s="2" t="s">
        <v>272</v>
      </c>
    </row>
    <row r="7" spans="1:26" ht="20.100000000000001" customHeight="1">
      <c r="A7" s="109"/>
      <c r="B7" s="110"/>
      <c r="C7" s="110"/>
      <c r="D7" s="110"/>
      <c r="E7" s="110"/>
      <c r="F7" s="110"/>
      <c r="G7" s="110"/>
      <c r="H7" s="110"/>
      <c r="I7" s="110"/>
      <c r="J7" s="110"/>
      <c r="K7" s="110"/>
      <c r="L7" s="110"/>
      <c r="O7" s="2" t="s">
        <v>340</v>
      </c>
    </row>
    <row r="8" spans="1:26" ht="12.75" customHeight="1">
      <c r="A8" s="13" t="s">
        <v>102</v>
      </c>
      <c r="B8" s="13"/>
      <c r="C8" s="14"/>
      <c r="D8" s="14"/>
      <c r="E8" s="14"/>
      <c r="F8" s="14"/>
      <c r="G8" s="14"/>
      <c r="H8" s="14"/>
      <c r="I8" s="14"/>
      <c r="J8" s="14"/>
      <c r="K8" s="14"/>
      <c r="L8" s="14"/>
      <c r="R8" s="2"/>
    </row>
    <row r="9" spans="1:26" ht="20.100000000000001" customHeight="1">
      <c r="B9" s="1" t="s">
        <v>105</v>
      </c>
      <c r="Y9" s="7"/>
      <c r="Z9" s="7"/>
    </row>
    <row r="10" spans="1:26" ht="20.100000000000001" customHeight="1">
      <c r="B10" s="1" t="s">
        <v>341</v>
      </c>
      <c r="Y10" s="7"/>
      <c r="Z10" s="7"/>
    </row>
    <row r="11" spans="1:26" ht="20.100000000000001" customHeight="1">
      <c r="B11" s="1" t="s">
        <v>342</v>
      </c>
      <c r="Y11" s="7"/>
      <c r="Z11" s="7"/>
    </row>
    <row r="12" spans="1:26" ht="20.100000000000001" customHeight="1">
      <c r="B12" s="1" t="s">
        <v>106</v>
      </c>
      <c r="Y12" s="7"/>
      <c r="Z12" s="7"/>
    </row>
    <row r="13" spans="1:26" ht="20.100000000000001" customHeight="1">
      <c r="B13" s="2" t="s">
        <v>111</v>
      </c>
      <c r="Y13" s="7"/>
      <c r="Z13" s="7"/>
    </row>
    <row r="14" spans="1:26" ht="20.100000000000001" customHeight="1">
      <c r="B14" s="2" t="s">
        <v>112</v>
      </c>
      <c r="Y14" s="7"/>
      <c r="Z14" s="7"/>
    </row>
    <row r="15" spans="1:26" ht="20.100000000000001" customHeight="1">
      <c r="B15" s="1" t="s">
        <v>103</v>
      </c>
      <c r="Y15" s="7"/>
      <c r="Z15" s="7"/>
    </row>
    <row r="16" spans="1:26" ht="20.100000000000001" customHeight="1">
      <c r="B16" s="1" t="s">
        <v>104</v>
      </c>
      <c r="Y16" s="7"/>
      <c r="Z16" s="7"/>
    </row>
    <row r="17" spans="1:12" ht="6" customHeight="1"/>
    <row r="18" spans="1:12">
      <c r="A18" s="13" t="s">
        <v>110</v>
      </c>
      <c r="B18" s="13"/>
      <c r="C18" s="14"/>
      <c r="D18" s="14"/>
      <c r="E18" s="14"/>
      <c r="F18" s="14"/>
      <c r="G18" s="14"/>
      <c r="H18" s="14"/>
      <c r="I18" s="14"/>
      <c r="J18" s="14"/>
      <c r="K18" s="14"/>
      <c r="L18" s="14"/>
    </row>
    <row r="19" spans="1:12" ht="12" customHeight="1"/>
    <row r="20" spans="1:12" ht="20.100000000000001" customHeight="1">
      <c r="B20" s="108"/>
      <c r="C20" s="111" t="s">
        <v>107</v>
      </c>
      <c r="J20" s="6"/>
      <c r="K20" s="4"/>
    </row>
    <row r="21" spans="1:12" ht="6" customHeight="1">
      <c r="C21" s="111"/>
    </row>
    <row r="22" spans="1:12" ht="20.100000000000001" customHeight="1">
      <c r="B22" s="16"/>
      <c r="C22" s="111" t="s">
        <v>108</v>
      </c>
      <c r="J22" s="2"/>
      <c r="K22" s="5"/>
    </row>
    <row r="23" spans="1:12" ht="6" customHeight="1">
      <c r="C23" s="111"/>
    </row>
    <row r="24" spans="1:12" ht="20.100000000000001" customHeight="1">
      <c r="B24" s="11"/>
      <c r="C24" s="12" t="s">
        <v>109</v>
      </c>
      <c r="J24" s="15"/>
    </row>
    <row r="25" spans="1:12" ht="12" customHeight="1">
      <c r="J25" s="8"/>
    </row>
    <row r="26" spans="1:12">
      <c r="A26" s="13" t="s">
        <v>101</v>
      </c>
      <c r="B26" s="13"/>
      <c r="C26" s="14"/>
      <c r="D26" s="14"/>
      <c r="E26" s="14"/>
      <c r="F26" s="14"/>
      <c r="G26" s="14"/>
      <c r="H26" s="14"/>
      <c r="I26" s="14"/>
      <c r="J26" s="14"/>
      <c r="K26" s="14"/>
      <c r="L26" s="14"/>
    </row>
    <row r="27" spans="1:12" ht="9" customHeight="1">
      <c r="J27" s="9"/>
    </row>
    <row r="28" spans="1:12" ht="17.100000000000001" customHeight="1">
      <c r="B28" s="2" t="s">
        <v>261</v>
      </c>
    </row>
    <row r="29" spans="1:12" ht="17.100000000000001" customHeight="1">
      <c r="B29" s="2" t="s">
        <v>346</v>
      </c>
    </row>
    <row r="30" spans="1:12" ht="17.100000000000001" customHeight="1">
      <c r="B30" s="2" t="s">
        <v>347</v>
      </c>
      <c r="J30" s="15"/>
    </row>
    <row r="31" spans="1:12" ht="17.100000000000001" customHeight="1">
      <c r="B31" s="112" t="s">
        <v>348</v>
      </c>
    </row>
    <row r="32" spans="1:12" ht="17.100000000000001" customHeight="1">
      <c r="B32" s="331" t="s">
        <v>350</v>
      </c>
      <c r="J32" s="2"/>
      <c r="K32" s="3"/>
    </row>
    <row r="33" spans="1:12" ht="17.100000000000001" customHeight="1">
      <c r="B33" s="331" t="s">
        <v>349</v>
      </c>
    </row>
    <row r="34" spans="1:12" ht="9" customHeight="1">
      <c r="J34" s="15"/>
    </row>
    <row r="35" spans="1:12" ht="149.1" customHeight="1">
      <c r="A35" s="280" t="s">
        <v>227</v>
      </c>
      <c r="B35" s="281"/>
      <c r="C35" s="281"/>
      <c r="D35" s="281"/>
      <c r="E35" s="281"/>
      <c r="F35" s="281"/>
      <c r="G35" s="281"/>
      <c r="H35" s="281"/>
      <c r="I35" s="281"/>
      <c r="J35" s="281"/>
      <c r="K35" s="281"/>
      <c r="L35" s="282"/>
    </row>
  </sheetData>
  <sheetProtection algorithmName="SHA-512" hashValue="UuTOB62kOW7wCMJb8PsAt2B53s59HHWMENXRXjBAavX9pLbL1p/rcJl6sFmjJ6XHOGwV1CgGRgA/KICkKw56tQ==" saltValue="aKu2/ie4ghdsB8g9pPQhow==" spinCount="100000" sheet="1" selectLockedCells="1"/>
  <mergeCells count="2">
    <mergeCell ref="A35:L35"/>
    <mergeCell ref="A2:L2"/>
  </mergeCells>
  <conditionalFormatting sqref="B24">
    <cfRule type="cellIs" dxfId="14" priority="1" stopIfTrue="1" operator="greaterThan">
      <formula>$E$66</formula>
    </cfRule>
  </conditionalFormatting>
  <dataValidations count="6">
    <dataValidation type="list" allowBlank="1" showInputMessage="1" showErrorMessage="1" sqref="E25" xr:uid="{00000000-0002-0000-0000-000000000000}">
      <formula1>"60000,63500"</formula1>
    </dataValidation>
    <dataValidation type="list" allowBlank="1" showInputMessage="1" showErrorMessage="1" sqref="F30" xr:uid="{00000000-0002-0000-0000-000001000000}">
      <formula1>$U$26:$U$28</formula1>
    </dataValidation>
    <dataValidation type="list" allowBlank="1" showInputMessage="1" showErrorMessage="1" sqref="F24" xr:uid="{00000000-0002-0000-0000-000002000000}">
      <formula1>$R$26:$R$31</formula1>
    </dataValidation>
    <dataValidation type="list" allowBlank="1" showInputMessage="1" showErrorMessage="1" sqref="E31" xr:uid="{00000000-0002-0000-0000-000003000000}">
      <formula1>"50000,55000"</formula1>
    </dataValidation>
    <dataValidation type="list" allowBlank="1" showInputMessage="1" showErrorMessage="1" sqref="F34" xr:uid="{00000000-0002-0000-0000-000004000000}">
      <formula1>#REF!</formula1>
    </dataValidation>
    <dataValidation type="list" allowBlank="1" showInputMessage="1" showErrorMessage="1" sqref="I20" xr:uid="{00000000-0002-0000-0000-000005000000}">
      <formula1>$N$25:$N$34</formula1>
    </dataValidation>
  </dataValidations>
  <pageMargins left="0.78740157480314965" right="0.78740157480314965" top="0.94488188976377963" bottom="0.78740157480314965" header="0.51181102362204722" footer="0.51181102362204722"/>
  <pageSetup paperSize="9" scale="65" orientation="portrait" horizontalDpi="360" verticalDpi="360" r:id="rId1"/>
  <headerFooter>
    <oddHeader>&amp;R&amp;K000000&amp;G</oddHeader>
    <oddFooter>&amp;L&amp;8&amp;F&amp;C
&amp;R&amp;8Bemessungshilfe Schöck ComBAR® V 2.2</oddFooter>
  </headerFooter>
  <drawing r:id="rId2"/>
  <legacyDrawingHF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dimension ref="A1:V49"/>
  <sheetViews>
    <sheetView showGridLines="0" showRuler="0" zoomScale="115" zoomScaleNormal="115" zoomScalePageLayoutView="96" workbookViewId="0">
      <selection activeCell="C5" sqref="C5:F5"/>
    </sheetView>
  </sheetViews>
  <sheetFormatPr baseColWidth="10" defaultRowHeight="12.75"/>
  <cols>
    <col min="1" max="1" width="3.42578125" style="25" customWidth="1"/>
    <col min="2" max="2" width="14.85546875" style="25" customWidth="1"/>
    <col min="3" max="3" width="15.42578125" style="25" customWidth="1"/>
    <col min="4" max="4" width="10.85546875" style="25" customWidth="1"/>
    <col min="5" max="5" width="14.42578125" style="25" customWidth="1"/>
    <col min="6" max="8" width="10.85546875" style="25" customWidth="1"/>
    <col min="9" max="9" width="14.7109375" style="25" customWidth="1"/>
    <col min="10" max="11" width="10.85546875" style="25" customWidth="1"/>
    <col min="12" max="12" width="5.7109375" style="25" customWidth="1"/>
    <col min="13" max="256" width="11.42578125" style="25"/>
    <col min="257" max="257" width="3.42578125" style="25" customWidth="1"/>
    <col min="258" max="258" width="14.85546875" style="25" customWidth="1"/>
    <col min="259" max="259" width="15.42578125" style="25" customWidth="1"/>
    <col min="260" max="260" width="10.85546875" style="25" customWidth="1"/>
    <col min="261" max="261" width="14.42578125" style="25" customWidth="1"/>
    <col min="262" max="264" width="10.85546875" style="25" customWidth="1"/>
    <col min="265" max="265" width="14.7109375" style="25" customWidth="1"/>
    <col min="266" max="267" width="10.85546875" style="25" customWidth="1"/>
    <col min="268" max="268" width="5.7109375" style="25" customWidth="1"/>
    <col min="269" max="512" width="11.42578125" style="25"/>
    <col min="513" max="513" width="3.42578125" style="25" customWidth="1"/>
    <col min="514" max="514" width="14.85546875" style="25" customWidth="1"/>
    <col min="515" max="515" width="15.42578125" style="25" customWidth="1"/>
    <col min="516" max="516" width="10.85546875" style="25" customWidth="1"/>
    <col min="517" max="517" width="14.42578125" style="25" customWidth="1"/>
    <col min="518" max="520" width="10.85546875" style="25" customWidth="1"/>
    <col min="521" max="521" width="14.7109375" style="25" customWidth="1"/>
    <col min="522" max="523" width="10.85546875" style="25" customWidth="1"/>
    <col min="524" max="524" width="5.7109375" style="25" customWidth="1"/>
    <col min="525" max="768" width="11.42578125" style="25"/>
    <col min="769" max="769" width="3.42578125" style="25" customWidth="1"/>
    <col min="770" max="770" width="14.85546875" style="25" customWidth="1"/>
    <col min="771" max="771" width="15.42578125" style="25" customWidth="1"/>
    <col min="772" max="772" width="10.85546875" style="25" customWidth="1"/>
    <col min="773" max="773" width="14.42578125" style="25" customWidth="1"/>
    <col min="774" max="776" width="10.85546875" style="25" customWidth="1"/>
    <col min="777" max="777" width="14.7109375" style="25" customWidth="1"/>
    <col min="778" max="779" width="10.85546875" style="25" customWidth="1"/>
    <col min="780" max="780" width="5.7109375" style="25" customWidth="1"/>
    <col min="781" max="1024" width="11.42578125" style="25"/>
    <col min="1025" max="1025" width="3.42578125" style="25" customWidth="1"/>
    <col min="1026" max="1026" width="14.85546875" style="25" customWidth="1"/>
    <col min="1027" max="1027" width="15.42578125" style="25" customWidth="1"/>
    <col min="1028" max="1028" width="10.85546875" style="25" customWidth="1"/>
    <col min="1029" max="1029" width="14.42578125" style="25" customWidth="1"/>
    <col min="1030" max="1032" width="10.85546875" style="25" customWidth="1"/>
    <col min="1033" max="1033" width="14.7109375" style="25" customWidth="1"/>
    <col min="1034" max="1035" width="10.85546875" style="25" customWidth="1"/>
    <col min="1036" max="1036" width="5.7109375" style="25" customWidth="1"/>
    <col min="1037" max="1280" width="11.42578125" style="25"/>
    <col min="1281" max="1281" width="3.42578125" style="25" customWidth="1"/>
    <col min="1282" max="1282" width="14.85546875" style="25" customWidth="1"/>
    <col min="1283" max="1283" width="15.42578125" style="25" customWidth="1"/>
    <col min="1284" max="1284" width="10.85546875" style="25" customWidth="1"/>
    <col min="1285" max="1285" width="14.42578125" style="25" customWidth="1"/>
    <col min="1286" max="1288" width="10.85546875" style="25" customWidth="1"/>
    <col min="1289" max="1289" width="14.7109375" style="25" customWidth="1"/>
    <col min="1290" max="1291" width="10.85546875" style="25" customWidth="1"/>
    <col min="1292" max="1292" width="5.7109375" style="25" customWidth="1"/>
    <col min="1293" max="1536" width="11.42578125" style="25"/>
    <col min="1537" max="1537" width="3.42578125" style="25" customWidth="1"/>
    <col min="1538" max="1538" width="14.85546875" style="25" customWidth="1"/>
    <col min="1539" max="1539" width="15.42578125" style="25" customWidth="1"/>
    <col min="1540" max="1540" width="10.85546875" style="25" customWidth="1"/>
    <col min="1541" max="1541" width="14.42578125" style="25" customWidth="1"/>
    <col min="1542" max="1544" width="10.85546875" style="25" customWidth="1"/>
    <col min="1545" max="1545" width="14.7109375" style="25" customWidth="1"/>
    <col min="1546" max="1547" width="10.85546875" style="25" customWidth="1"/>
    <col min="1548" max="1548" width="5.7109375" style="25" customWidth="1"/>
    <col min="1549" max="1792" width="11.42578125" style="25"/>
    <col min="1793" max="1793" width="3.42578125" style="25" customWidth="1"/>
    <col min="1794" max="1794" width="14.85546875" style="25" customWidth="1"/>
    <col min="1795" max="1795" width="15.42578125" style="25" customWidth="1"/>
    <col min="1796" max="1796" width="10.85546875" style="25" customWidth="1"/>
    <col min="1797" max="1797" width="14.42578125" style="25" customWidth="1"/>
    <col min="1798" max="1800" width="10.85546875" style="25" customWidth="1"/>
    <col min="1801" max="1801" width="14.7109375" style="25" customWidth="1"/>
    <col min="1802" max="1803" width="10.85546875" style="25" customWidth="1"/>
    <col min="1804" max="1804" width="5.7109375" style="25" customWidth="1"/>
    <col min="1805" max="2048" width="11.42578125" style="25"/>
    <col min="2049" max="2049" width="3.42578125" style="25" customWidth="1"/>
    <col min="2050" max="2050" width="14.85546875" style="25" customWidth="1"/>
    <col min="2051" max="2051" width="15.42578125" style="25" customWidth="1"/>
    <col min="2052" max="2052" width="10.85546875" style="25" customWidth="1"/>
    <col min="2053" max="2053" width="14.42578125" style="25" customWidth="1"/>
    <col min="2054" max="2056" width="10.85546875" style="25" customWidth="1"/>
    <col min="2057" max="2057" width="14.7109375" style="25" customWidth="1"/>
    <col min="2058" max="2059" width="10.85546875" style="25" customWidth="1"/>
    <col min="2060" max="2060" width="5.7109375" style="25" customWidth="1"/>
    <col min="2061" max="2304" width="11.42578125" style="25"/>
    <col min="2305" max="2305" width="3.42578125" style="25" customWidth="1"/>
    <col min="2306" max="2306" width="14.85546875" style="25" customWidth="1"/>
    <col min="2307" max="2307" width="15.42578125" style="25" customWidth="1"/>
    <col min="2308" max="2308" width="10.85546875" style="25" customWidth="1"/>
    <col min="2309" max="2309" width="14.42578125" style="25" customWidth="1"/>
    <col min="2310" max="2312" width="10.85546875" style="25" customWidth="1"/>
    <col min="2313" max="2313" width="14.7109375" style="25" customWidth="1"/>
    <col min="2314" max="2315" width="10.85546875" style="25" customWidth="1"/>
    <col min="2316" max="2316" width="5.7109375" style="25" customWidth="1"/>
    <col min="2317" max="2560" width="11.42578125" style="25"/>
    <col min="2561" max="2561" width="3.42578125" style="25" customWidth="1"/>
    <col min="2562" max="2562" width="14.85546875" style="25" customWidth="1"/>
    <col min="2563" max="2563" width="15.42578125" style="25" customWidth="1"/>
    <col min="2564" max="2564" width="10.85546875" style="25" customWidth="1"/>
    <col min="2565" max="2565" width="14.42578125" style="25" customWidth="1"/>
    <col min="2566" max="2568" width="10.85546875" style="25" customWidth="1"/>
    <col min="2569" max="2569" width="14.7109375" style="25" customWidth="1"/>
    <col min="2570" max="2571" width="10.85546875" style="25" customWidth="1"/>
    <col min="2572" max="2572" width="5.7109375" style="25" customWidth="1"/>
    <col min="2573" max="2816" width="11.42578125" style="25"/>
    <col min="2817" max="2817" width="3.42578125" style="25" customWidth="1"/>
    <col min="2818" max="2818" width="14.85546875" style="25" customWidth="1"/>
    <col min="2819" max="2819" width="15.42578125" style="25" customWidth="1"/>
    <col min="2820" max="2820" width="10.85546875" style="25" customWidth="1"/>
    <col min="2821" max="2821" width="14.42578125" style="25" customWidth="1"/>
    <col min="2822" max="2824" width="10.85546875" style="25" customWidth="1"/>
    <col min="2825" max="2825" width="14.7109375" style="25" customWidth="1"/>
    <col min="2826" max="2827" width="10.85546875" style="25" customWidth="1"/>
    <col min="2828" max="2828" width="5.7109375" style="25" customWidth="1"/>
    <col min="2829" max="3072" width="11.42578125" style="25"/>
    <col min="3073" max="3073" width="3.42578125" style="25" customWidth="1"/>
    <col min="3074" max="3074" width="14.85546875" style="25" customWidth="1"/>
    <col min="3075" max="3075" width="15.42578125" style="25" customWidth="1"/>
    <col min="3076" max="3076" width="10.85546875" style="25" customWidth="1"/>
    <col min="3077" max="3077" width="14.42578125" style="25" customWidth="1"/>
    <col min="3078" max="3080" width="10.85546875" style="25" customWidth="1"/>
    <col min="3081" max="3081" width="14.7109375" style="25" customWidth="1"/>
    <col min="3082" max="3083" width="10.85546875" style="25" customWidth="1"/>
    <col min="3084" max="3084" width="5.7109375" style="25" customWidth="1"/>
    <col min="3085" max="3328" width="11.42578125" style="25"/>
    <col min="3329" max="3329" width="3.42578125" style="25" customWidth="1"/>
    <col min="3330" max="3330" width="14.85546875" style="25" customWidth="1"/>
    <col min="3331" max="3331" width="15.42578125" style="25" customWidth="1"/>
    <col min="3332" max="3332" width="10.85546875" style="25" customWidth="1"/>
    <col min="3333" max="3333" width="14.42578125" style="25" customWidth="1"/>
    <col min="3334" max="3336" width="10.85546875" style="25" customWidth="1"/>
    <col min="3337" max="3337" width="14.7109375" style="25" customWidth="1"/>
    <col min="3338" max="3339" width="10.85546875" style="25" customWidth="1"/>
    <col min="3340" max="3340" width="5.7109375" style="25" customWidth="1"/>
    <col min="3341" max="3584" width="11.42578125" style="25"/>
    <col min="3585" max="3585" width="3.42578125" style="25" customWidth="1"/>
    <col min="3586" max="3586" width="14.85546875" style="25" customWidth="1"/>
    <col min="3587" max="3587" width="15.42578125" style="25" customWidth="1"/>
    <col min="3588" max="3588" width="10.85546875" style="25" customWidth="1"/>
    <col min="3589" max="3589" width="14.42578125" style="25" customWidth="1"/>
    <col min="3590" max="3592" width="10.85546875" style="25" customWidth="1"/>
    <col min="3593" max="3593" width="14.7109375" style="25" customWidth="1"/>
    <col min="3594" max="3595" width="10.85546875" style="25" customWidth="1"/>
    <col min="3596" max="3596" width="5.7109375" style="25" customWidth="1"/>
    <col min="3597" max="3840" width="11.42578125" style="25"/>
    <col min="3841" max="3841" width="3.42578125" style="25" customWidth="1"/>
    <col min="3842" max="3842" width="14.85546875" style="25" customWidth="1"/>
    <col min="3843" max="3843" width="15.42578125" style="25" customWidth="1"/>
    <col min="3844" max="3844" width="10.85546875" style="25" customWidth="1"/>
    <col min="3845" max="3845" width="14.42578125" style="25" customWidth="1"/>
    <col min="3846" max="3848" width="10.85546875" style="25" customWidth="1"/>
    <col min="3849" max="3849" width="14.7109375" style="25" customWidth="1"/>
    <col min="3850" max="3851" width="10.85546875" style="25" customWidth="1"/>
    <col min="3852" max="3852" width="5.7109375" style="25" customWidth="1"/>
    <col min="3853" max="4096" width="11.42578125" style="25"/>
    <col min="4097" max="4097" width="3.42578125" style="25" customWidth="1"/>
    <col min="4098" max="4098" width="14.85546875" style="25" customWidth="1"/>
    <col min="4099" max="4099" width="15.42578125" style="25" customWidth="1"/>
    <col min="4100" max="4100" width="10.85546875" style="25" customWidth="1"/>
    <col min="4101" max="4101" width="14.42578125" style="25" customWidth="1"/>
    <col min="4102" max="4104" width="10.85546875" style="25" customWidth="1"/>
    <col min="4105" max="4105" width="14.7109375" style="25" customWidth="1"/>
    <col min="4106" max="4107" width="10.85546875" style="25" customWidth="1"/>
    <col min="4108" max="4108" width="5.7109375" style="25" customWidth="1"/>
    <col min="4109" max="4352" width="11.42578125" style="25"/>
    <col min="4353" max="4353" width="3.42578125" style="25" customWidth="1"/>
    <col min="4354" max="4354" width="14.85546875" style="25" customWidth="1"/>
    <col min="4355" max="4355" width="15.42578125" style="25" customWidth="1"/>
    <col min="4356" max="4356" width="10.85546875" style="25" customWidth="1"/>
    <col min="4357" max="4357" width="14.42578125" style="25" customWidth="1"/>
    <col min="4358" max="4360" width="10.85546875" style="25" customWidth="1"/>
    <col min="4361" max="4361" width="14.7109375" style="25" customWidth="1"/>
    <col min="4362" max="4363" width="10.85546875" style="25" customWidth="1"/>
    <col min="4364" max="4364" width="5.7109375" style="25" customWidth="1"/>
    <col min="4365" max="4608" width="11.42578125" style="25"/>
    <col min="4609" max="4609" width="3.42578125" style="25" customWidth="1"/>
    <col min="4610" max="4610" width="14.85546875" style="25" customWidth="1"/>
    <col min="4611" max="4611" width="15.42578125" style="25" customWidth="1"/>
    <col min="4612" max="4612" width="10.85546875" style="25" customWidth="1"/>
    <col min="4613" max="4613" width="14.42578125" style="25" customWidth="1"/>
    <col min="4614" max="4616" width="10.85546875" style="25" customWidth="1"/>
    <col min="4617" max="4617" width="14.7109375" style="25" customWidth="1"/>
    <col min="4618" max="4619" width="10.85546875" style="25" customWidth="1"/>
    <col min="4620" max="4620" width="5.7109375" style="25" customWidth="1"/>
    <col min="4621" max="4864" width="11.42578125" style="25"/>
    <col min="4865" max="4865" width="3.42578125" style="25" customWidth="1"/>
    <col min="4866" max="4866" width="14.85546875" style="25" customWidth="1"/>
    <col min="4867" max="4867" width="15.42578125" style="25" customWidth="1"/>
    <col min="4868" max="4868" width="10.85546875" style="25" customWidth="1"/>
    <col min="4869" max="4869" width="14.42578125" style="25" customWidth="1"/>
    <col min="4870" max="4872" width="10.85546875" style="25" customWidth="1"/>
    <col min="4873" max="4873" width="14.7109375" style="25" customWidth="1"/>
    <col min="4874" max="4875" width="10.85546875" style="25" customWidth="1"/>
    <col min="4876" max="4876" width="5.7109375" style="25" customWidth="1"/>
    <col min="4877" max="5120" width="11.42578125" style="25"/>
    <col min="5121" max="5121" width="3.42578125" style="25" customWidth="1"/>
    <col min="5122" max="5122" width="14.85546875" style="25" customWidth="1"/>
    <col min="5123" max="5123" width="15.42578125" style="25" customWidth="1"/>
    <col min="5124" max="5124" width="10.85546875" style="25" customWidth="1"/>
    <col min="5125" max="5125" width="14.42578125" style="25" customWidth="1"/>
    <col min="5126" max="5128" width="10.85546875" style="25" customWidth="1"/>
    <col min="5129" max="5129" width="14.7109375" style="25" customWidth="1"/>
    <col min="5130" max="5131" width="10.85546875" style="25" customWidth="1"/>
    <col min="5132" max="5132" width="5.7109375" style="25" customWidth="1"/>
    <col min="5133" max="5376" width="11.42578125" style="25"/>
    <col min="5377" max="5377" width="3.42578125" style="25" customWidth="1"/>
    <col min="5378" max="5378" width="14.85546875" style="25" customWidth="1"/>
    <col min="5379" max="5379" width="15.42578125" style="25" customWidth="1"/>
    <col min="5380" max="5380" width="10.85546875" style="25" customWidth="1"/>
    <col min="5381" max="5381" width="14.42578125" style="25" customWidth="1"/>
    <col min="5382" max="5384" width="10.85546875" style="25" customWidth="1"/>
    <col min="5385" max="5385" width="14.7109375" style="25" customWidth="1"/>
    <col min="5386" max="5387" width="10.85546875" style="25" customWidth="1"/>
    <col min="5388" max="5388" width="5.7109375" style="25" customWidth="1"/>
    <col min="5389" max="5632" width="11.42578125" style="25"/>
    <col min="5633" max="5633" width="3.42578125" style="25" customWidth="1"/>
    <col min="5634" max="5634" width="14.85546875" style="25" customWidth="1"/>
    <col min="5635" max="5635" width="15.42578125" style="25" customWidth="1"/>
    <col min="5636" max="5636" width="10.85546875" style="25" customWidth="1"/>
    <col min="5637" max="5637" width="14.42578125" style="25" customWidth="1"/>
    <col min="5638" max="5640" width="10.85546875" style="25" customWidth="1"/>
    <col min="5641" max="5641" width="14.7109375" style="25" customWidth="1"/>
    <col min="5642" max="5643" width="10.85546875" style="25" customWidth="1"/>
    <col min="5644" max="5644" width="5.7109375" style="25" customWidth="1"/>
    <col min="5645" max="5888" width="11.42578125" style="25"/>
    <col min="5889" max="5889" width="3.42578125" style="25" customWidth="1"/>
    <col min="5890" max="5890" width="14.85546875" style="25" customWidth="1"/>
    <col min="5891" max="5891" width="15.42578125" style="25" customWidth="1"/>
    <col min="5892" max="5892" width="10.85546875" style="25" customWidth="1"/>
    <col min="5893" max="5893" width="14.42578125" style="25" customWidth="1"/>
    <col min="5894" max="5896" width="10.85546875" style="25" customWidth="1"/>
    <col min="5897" max="5897" width="14.7109375" style="25" customWidth="1"/>
    <col min="5898" max="5899" width="10.85546875" style="25" customWidth="1"/>
    <col min="5900" max="5900" width="5.7109375" style="25" customWidth="1"/>
    <col min="5901" max="6144" width="11.42578125" style="25"/>
    <col min="6145" max="6145" width="3.42578125" style="25" customWidth="1"/>
    <col min="6146" max="6146" width="14.85546875" style="25" customWidth="1"/>
    <col min="6147" max="6147" width="15.42578125" style="25" customWidth="1"/>
    <col min="6148" max="6148" width="10.85546875" style="25" customWidth="1"/>
    <col min="6149" max="6149" width="14.42578125" style="25" customWidth="1"/>
    <col min="6150" max="6152" width="10.85546875" style="25" customWidth="1"/>
    <col min="6153" max="6153" width="14.7109375" style="25" customWidth="1"/>
    <col min="6154" max="6155" width="10.85546875" style="25" customWidth="1"/>
    <col min="6156" max="6156" width="5.7109375" style="25" customWidth="1"/>
    <col min="6157" max="6400" width="11.42578125" style="25"/>
    <col min="6401" max="6401" width="3.42578125" style="25" customWidth="1"/>
    <col min="6402" max="6402" width="14.85546875" style="25" customWidth="1"/>
    <col min="6403" max="6403" width="15.42578125" style="25" customWidth="1"/>
    <col min="6404" max="6404" width="10.85546875" style="25" customWidth="1"/>
    <col min="6405" max="6405" width="14.42578125" style="25" customWidth="1"/>
    <col min="6406" max="6408" width="10.85546875" style="25" customWidth="1"/>
    <col min="6409" max="6409" width="14.7109375" style="25" customWidth="1"/>
    <col min="6410" max="6411" width="10.85546875" style="25" customWidth="1"/>
    <col min="6412" max="6412" width="5.7109375" style="25" customWidth="1"/>
    <col min="6413" max="6656" width="11.42578125" style="25"/>
    <col min="6657" max="6657" width="3.42578125" style="25" customWidth="1"/>
    <col min="6658" max="6658" width="14.85546875" style="25" customWidth="1"/>
    <col min="6659" max="6659" width="15.42578125" style="25" customWidth="1"/>
    <col min="6660" max="6660" width="10.85546875" style="25" customWidth="1"/>
    <col min="6661" max="6661" width="14.42578125" style="25" customWidth="1"/>
    <col min="6662" max="6664" width="10.85546875" style="25" customWidth="1"/>
    <col min="6665" max="6665" width="14.7109375" style="25" customWidth="1"/>
    <col min="6666" max="6667" width="10.85546875" style="25" customWidth="1"/>
    <col min="6668" max="6668" width="5.7109375" style="25" customWidth="1"/>
    <col min="6669" max="6912" width="11.42578125" style="25"/>
    <col min="6913" max="6913" width="3.42578125" style="25" customWidth="1"/>
    <col min="6914" max="6914" width="14.85546875" style="25" customWidth="1"/>
    <col min="6915" max="6915" width="15.42578125" style="25" customWidth="1"/>
    <col min="6916" max="6916" width="10.85546875" style="25" customWidth="1"/>
    <col min="6917" max="6917" width="14.42578125" style="25" customWidth="1"/>
    <col min="6918" max="6920" width="10.85546875" style="25" customWidth="1"/>
    <col min="6921" max="6921" width="14.7109375" style="25" customWidth="1"/>
    <col min="6922" max="6923" width="10.85546875" style="25" customWidth="1"/>
    <col min="6924" max="6924" width="5.7109375" style="25" customWidth="1"/>
    <col min="6925" max="7168" width="11.42578125" style="25"/>
    <col min="7169" max="7169" width="3.42578125" style="25" customWidth="1"/>
    <col min="7170" max="7170" width="14.85546875" style="25" customWidth="1"/>
    <col min="7171" max="7171" width="15.42578125" style="25" customWidth="1"/>
    <col min="7172" max="7172" width="10.85546875" style="25" customWidth="1"/>
    <col min="7173" max="7173" width="14.42578125" style="25" customWidth="1"/>
    <col min="7174" max="7176" width="10.85546875" style="25" customWidth="1"/>
    <col min="7177" max="7177" width="14.7109375" style="25" customWidth="1"/>
    <col min="7178" max="7179" width="10.85546875" style="25" customWidth="1"/>
    <col min="7180" max="7180" width="5.7109375" style="25" customWidth="1"/>
    <col min="7181" max="7424" width="11.42578125" style="25"/>
    <col min="7425" max="7425" width="3.42578125" style="25" customWidth="1"/>
    <col min="7426" max="7426" width="14.85546875" style="25" customWidth="1"/>
    <col min="7427" max="7427" width="15.42578125" style="25" customWidth="1"/>
    <col min="7428" max="7428" width="10.85546875" style="25" customWidth="1"/>
    <col min="7429" max="7429" width="14.42578125" style="25" customWidth="1"/>
    <col min="7430" max="7432" width="10.85546875" style="25" customWidth="1"/>
    <col min="7433" max="7433" width="14.7109375" style="25" customWidth="1"/>
    <col min="7434" max="7435" width="10.85546875" style="25" customWidth="1"/>
    <col min="7436" max="7436" width="5.7109375" style="25" customWidth="1"/>
    <col min="7437" max="7680" width="11.42578125" style="25"/>
    <col min="7681" max="7681" width="3.42578125" style="25" customWidth="1"/>
    <col min="7682" max="7682" width="14.85546875" style="25" customWidth="1"/>
    <col min="7683" max="7683" width="15.42578125" style="25" customWidth="1"/>
    <col min="7684" max="7684" width="10.85546875" style="25" customWidth="1"/>
    <col min="7685" max="7685" width="14.42578125" style="25" customWidth="1"/>
    <col min="7686" max="7688" width="10.85546875" style="25" customWidth="1"/>
    <col min="7689" max="7689" width="14.7109375" style="25" customWidth="1"/>
    <col min="7690" max="7691" width="10.85546875" style="25" customWidth="1"/>
    <col min="7692" max="7692" width="5.7109375" style="25" customWidth="1"/>
    <col min="7693" max="7936" width="11.42578125" style="25"/>
    <col min="7937" max="7937" width="3.42578125" style="25" customWidth="1"/>
    <col min="7938" max="7938" width="14.85546875" style="25" customWidth="1"/>
    <col min="7939" max="7939" width="15.42578125" style="25" customWidth="1"/>
    <col min="7940" max="7940" width="10.85546875" style="25" customWidth="1"/>
    <col min="7941" max="7941" width="14.42578125" style="25" customWidth="1"/>
    <col min="7942" max="7944" width="10.85546875" style="25" customWidth="1"/>
    <col min="7945" max="7945" width="14.7109375" style="25" customWidth="1"/>
    <col min="7946" max="7947" width="10.85546875" style="25" customWidth="1"/>
    <col min="7948" max="7948" width="5.7109375" style="25" customWidth="1"/>
    <col min="7949" max="8192" width="11.42578125" style="25"/>
    <col min="8193" max="8193" width="3.42578125" style="25" customWidth="1"/>
    <col min="8194" max="8194" width="14.85546875" style="25" customWidth="1"/>
    <col min="8195" max="8195" width="15.42578125" style="25" customWidth="1"/>
    <col min="8196" max="8196" width="10.85546875" style="25" customWidth="1"/>
    <col min="8197" max="8197" width="14.42578125" style="25" customWidth="1"/>
    <col min="8198" max="8200" width="10.85546875" style="25" customWidth="1"/>
    <col min="8201" max="8201" width="14.7109375" style="25" customWidth="1"/>
    <col min="8202" max="8203" width="10.85546875" style="25" customWidth="1"/>
    <col min="8204" max="8204" width="5.7109375" style="25" customWidth="1"/>
    <col min="8205" max="8448" width="11.42578125" style="25"/>
    <col min="8449" max="8449" width="3.42578125" style="25" customWidth="1"/>
    <col min="8450" max="8450" width="14.85546875" style="25" customWidth="1"/>
    <col min="8451" max="8451" width="15.42578125" style="25" customWidth="1"/>
    <col min="8452" max="8452" width="10.85546875" style="25" customWidth="1"/>
    <col min="8453" max="8453" width="14.42578125" style="25" customWidth="1"/>
    <col min="8454" max="8456" width="10.85546875" style="25" customWidth="1"/>
    <col min="8457" max="8457" width="14.7109375" style="25" customWidth="1"/>
    <col min="8458" max="8459" width="10.85546875" style="25" customWidth="1"/>
    <col min="8460" max="8460" width="5.7109375" style="25" customWidth="1"/>
    <col min="8461" max="8704" width="11.42578125" style="25"/>
    <col min="8705" max="8705" width="3.42578125" style="25" customWidth="1"/>
    <col min="8706" max="8706" width="14.85546875" style="25" customWidth="1"/>
    <col min="8707" max="8707" width="15.42578125" style="25" customWidth="1"/>
    <col min="8708" max="8708" width="10.85546875" style="25" customWidth="1"/>
    <col min="8709" max="8709" width="14.42578125" style="25" customWidth="1"/>
    <col min="8710" max="8712" width="10.85546875" style="25" customWidth="1"/>
    <col min="8713" max="8713" width="14.7109375" style="25" customWidth="1"/>
    <col min="8714" max="8715" width="10.85546875" style="25" customWidth="1"/>
    <col min="8716" max="8716" width="5.7109375" style="25" customWidth="1"/>
    <col min="8717" max="8960" width="11.42578125" style="25"/>
    <col min="8961" max="8961" width="3.42578125" style="25" customWidth="1"/>
    <col min="8962" max="8962" width="14.85546875" style="25" customWidth="1"/>
    <col min="8963" max="8963" width="15.42578125" style="25" customWidth="1"/>
    <col min="8964" max="8964" width="10.85546875" style="25" customWidth="1"/>
    <col min="8965" max="8965" width="14.42578125" style="25" customWidth="1"/>
    <col min="8966" max="8968" width="10.85546875" style="25" customWidth="1"/>
    <col min="8969" max="8969" width="14.7109375" style="25" customWidth="1"/>
    <col min="8970" max="8971" width="10.85546875" style="25" customWidth="1"/>
    <col min="8972" max="8972" width="5.7109375" style="25" customWidth="1"/>
    <col min="8973" max="9216" width="11.42578125" style="25"/>
    <col min="9217" max="9217" width="3.42578125" style="25" customWidth="1"/>
    <col min="9218" max="9218" width="14.85546875" style="25" customWidth="1"/>
    <col min="9219" max="9219" width="15.42578125" style="25" customWidth="1"/>
    <col min="9220" max="9220" width="10.85546875" style="25" customWidth="1"/>
    <col min="9221" max="9221" width="14.42578125" style="25" customWidth="1"/>
    <col min="9222" max="9224" width="10.85546875" style="25" customWidth="1"/>
    <col min="9225" max="9225" width="14.7109375" style="25" customWidth="1"/>
    <col min="9226" max="9227" width="10.85546875" style="25" customWidth="1"/>
    <col min="9228" max="9228" width="5.7109375" style="25" customWidth="1"/>
    <col min="9229" max="9472" width="11.42578125" style="25"/>
    <col min="9473" max="9473" width="3.42578125" style="25" customWidth="1"/>
    <col min="9474" max="9474" width="14.85546875" style="25" customWidth="1"/>
    <col min="9475" max="9475" width="15.42578125" style="25" customWidth="1"/>
    <col min="9476" max="9476" width="10.85546875" style="25" customWidth="1"/>
    <col min="9477" max="9477" width="14.42578125" style="25" customWidth="1"/>
    <col min="9478" max="9480" width="10.85546875" style="25" customWidth="1"/>
    <col min="9481" max="9481" width="14.7109375" style="25" customWidth="1"/>
    <col min="9482" max="9483" width="10.85546875" style="25" customWidth="1"/>
    <col min="9484" max="9484" width="5.7109375" style="25" customWidth="1"/>
    <col min="9485" max="9728" width="11.42578125" style="25"/>
    <col min="9729" max="9729" width="3.42578125" style="25" customWidth="1"/>
    <col min="9730" max="9730" width="14.85546875" style="25" customWidth="1"/>
    <col min="9731" max="9731" width="15.42578125" style="25" customWidth="1"/>
    <col min="9732" max="9732" width="10.85546875" style="25" customWidth="1"/>
    <col min="9733" max="9733" width="14.42578125" style="25" customWidth="1"/>
    <col min="9734" max="9736" width="10.85546875" style="25" customWidth="1"/>
    <col min="9737" max="9737" width="14.7109375" style="25" customWidth="1"/>
    <col min="9738" max="9739" width="10.85546875" style="25" customWidth="1"/>
    <col min="9740" max="9740" width="5.7109375" style="25" customWidth="1"/>
    <col min="9741" max="9984" width="11.42578125" style="25"/>
    <col min="9985" max="9985" width="3.42578125" style="25" customWidth="1"/>
    <col min="9986" max="9986" width="14.85546875" style="25" customWidth="1"/>
    <col min="9987" max="9987" width="15.42578125" style="25" customWidth="1"/>
    <col min="9988" max="9988" width="10.85546875" style="25" customWidth="1"/>
    <col min="9989" max="9989" width="14.42578125" style="25" customWidth="1"/>
    <col min="9990" max="9992" width="10.85546875" style="25" customWidth="1"/>
    <col min="9993" max="9993" width="14.7109375" style="25" customWidth="1"/>
    <col min="9994" max="9995" width="10.85546875" style="25" customWidth="1"/>
    <col min="9996" max="9996" width="5.7109375" style="25" customWidth="1"/>
    <col min="9997" max="10240" width="11.42578125" style="25"/>
    <col min="10241" max="10241" width="3.42578125" style="25" customWidth="1"/>
    <col min="10242" max="10242" width="14.85546875" style="25" customWidth="1"/>
    <col min="10243" max="10243" width="15.42578125" style="25" customWidth="1"/>
    <col min="10244" max="10244" width="10.85546875" style="25" customWidth="1"/>
    <col min="10245" max="10245" width="14.42578125" style="25" customWidth="1"/>
    <col min="10246" max="10248" width="10.85546875" style="25" customWidth="1"/>
    <col min="10249" max="10249" width="14.7109375" style="25" customWidth="1"/>
    <col min="10250" max="10251" width="10.85546875" style="25" customWidth="1"/>
    <col min="10252" max="10252" width="5.7109375" style="25" customWidth="1"/>
    <col min="10253" max="10496" width="11.42578125" style="25"/>
    <col min="10497" max="10497" width="3.42578125" style="25" customWidth="1"/>
    <col min="10498" max="10498" width="14.85546875" style="25" customWidth="1"/>
    <col min="10499" max="10499" width="15.42578125" style="25" customWidth="1"/>
    <col min="10500" max="10500" width="10.85546875" style="25" customWidth="1"/>
    <col min="10501" max="10501" width="14.42578125" style="25" customWidth="1"/>
    <col min="10502" max="10504" width="10.85546875" style="25" customWidth="1"/>
    <col min="10505" max="10505" width="14.7109375" style="25" customWidth="1"/>
    <col min="10506" max="10507" width="10.85546875" style="25" customWidth="1"/>
    <col min="10508" max="10508" width="5.7109375" style="25" customWidth="1"/>
    <col min="10509" max="10752" width="11.42578125" style="25"/>
    <col min="10753" max="10753" width="3.42578125" style="25" customWidth="1"/>
    <col min="10754" max="10754" width="14.85546875" style="25" customWidth="1"/>
    <col min="10755" max="10755" width="15.42578125" style="25" customWidth="1"/>
    <col min="10756" max="10756" width="10.85546875" style="25" customWidth="1"/>
    <col min="10757" max="10757" width="14.42578125" style="25" customWidth="1"/>
    <col min="10758" max="10760" width="10.85546875" style="25" customWidth="1"/>
    <col min="10761" max="10761" width="14.7109375" style="25" customWidth="1"/>
    <col min="10762" max="10763" width="10.85546875" style="25" customWidth="1"/>
    <col min="10764" max="10764" width="5.7109375" style="25" customWidth="1"/>
    <col min="10765" max="11008" width="11.42578125" style="25"/>
    <col min="11009" max="11009" width="3.42578125" style="25" customWidth="1"/>
    <col min="11010" max="11010" width="14.85546875" style="25" customWidth="1"/>
    <col min="11011" max="11011" width="15.42578125" style="25" customWidth="1"/>
    <col min="11012" max="11012" width="10.85546875" style="25" customWidth="1"/>
    <col min="11013" max="11013" width="14.42578125" style="25" customWidth="1"/>
    <col min="11014" max="11016" width="10.85546875" style="25" customWidth="1"/>
    <col min="11017" max="11017" width="14.7109375" style="25" customWidth="1"/>
    <col min="11018" max="11019" width="10.85546875" style="25" customWidth="1"/>
    <col min="11020" max="11020" width="5.7109375" style="25" customWidth="1"/>
    <col min="11021" max="11264" width="11.42578125" style="25"/>
    <col min="11265" max="11265" width="3.42578125" style="25" customWidth="1"/>
    <col min="11266" max="11266" width="14.85546875" style="25" customWidth="1"/>
    <col min="11267" max="11267" width="15.42578125" style="25" customWidth="1"/>
    <col min="11268" max="11268" width="10.85546875" style="25" customWidth="1"/>
    <col min="11269" max="11269" width="14.42578125" style="25" customWidth="1"/>
    <col min="11270" max="11272" width="10.85546875" style="25" customWidth="1"/>
    <col min="11273" max="11273" width="14.7109375" style="25" customWidth="1"/>
    <col min="11274" max="11275" width="10.85546875" style="25" customWidth="1"/>
    <col min="11276" max="11276" width="5.7109375" style="25" customWidth="1"/>
    <col min="11277" max="11520" width="11.42578125" style="25"/>
    <col min="11521" max="11521" width="3.42578125" style="25" customWidth="1"/>
    <col min="11522" max="11522" width="14.85546875" style="25" customWidth="1"/>
    <col min="11523" max="11523" width="15.42578125" style="25" customWidth="1"/>
    <col min="11524" max="11524" width="10.85546875" style="25" customWidth="1"/>
    <col min="11525" max="11525" width="14.42578125" style="25" customWidth="1"/>
    <col min="11526" max="11528" width="10.85546875" style="25" customWidth="1"/>
    <col min="11529" max="11529" width="14.7109375" style="25" customWidth="1"/>
    <col min="11530" max="11531" width="10.85546875" style="25" customWidth="1"/>
    <col min="11532" max="11532" width="5.7109375" style="25" customWidth="1"/>
    <col min="11533" max="11776" width="11.42578125" style="25"/>
    <col min="11777" max="11777" width="3.42578125" style="25" customWidth="1"/>
    <col min="11778" max="11778" width="14.85546875" style="25" customWidth="1"/>
    <col min="11779" max="11779" width="15.42578125" style="25" customWidth="1"/>
    <col min="11780" max="11780" width="10.85546875" style="25" customWidth="1"/>
    <col min="11781" max="11781" width="14.42578125" style="25" customWidth="1"/>
    <col min="11782" max="11784" width="10.85546875" style="25" customWidth="1"/>
    <col min="11785" max="11785" width="14.7109375" style="25" customWidth="1"/>
    <col min="11786" max="11787" width="10.85546875" style="25" customWidth="1"/>
    <col min="11788" max="11788" width="5.7109375" style="25" customWidth="1"/>
    <col min="11789" max="12032" width="11.42578125" style="25"/>
    <col min="12033" max="12033" width="3.42578125" style="25" customWidth="1"/>
    <col min="12034" max="12034" width="14.85546875" style="25" customWidth="1"/>
    <col min="12035" max="12035" width="15.42578125" style="25" customWidth="1"/>
    <col min="12036" max="12036" width="10.85546875" style="25" customWidth="1"/>
    <col min="12037" max="12037" width="14.42578125" style="25" customWidth="1"/>
    <col min="12038" max="12040" width="10.85546875" style="25" customWidth="1"/>
    <col min="12041" max="12041" width="14.7109375" style="25" customWidth="1"/>
    <col min="12042" max="12043" width="10.85546875" style="25" customWidth="1"/>
    <col min="12044" max="12044" width="5.7109375" style="25" customWidth="1"/>
    <col min="12045" max="12288" width="11.42578125" style="25"/>
    <col min="12289" max="12289" width="3.42578125" style="25" customWidth="1"/>
    <col min="12290" max="12290" width="14.85546875" style="25" customWidth="1"/>
    <col min="12291" max="12291" width="15.42578125" style="25" customWidth="1"/>
    <col min="12292" max="12292" width="10.85546875" style="25" customWidth="1"/>
    <col min="12293" max="12293" width="14.42578125" style="25" customWidth="1"/>
    <col min="12294" max="12296" width="10.85546875" style="25" customWidth="1"/>
    <col min="12297" max="12297" width="14.7109375" style="25" customWidth="1"/>
    <col min="12298" max="12299" width="10.85546875" style="25" customWidth="1"/>
    <col min="12300" max="12300" width="5.7109375" style="25" customWidth="1"/>
    <col min="12301" max="12544" width="11.42578125" style="25"/>
    <col min="12545" max="12545" width="3.42578125" style="25" customWidth="1"/>
    <col min="12546" max="12546" width="14.85546875" style="25" customWidth="1"/>
    <col min="12547" max="12547" width="15.42578125" style="25" customWidth="1"/>
    <col min="12548" max="12548" width="10.85546875" style="25" customWidth="1"/>
    <col min="12549" max="12549" width="14.42578125" style="25" customWidth="1"/>
    <col min="12550" max="12552" width="10.85546875" style="25" customWidth="1"/>
    <col min="12553" max="12553" width="14.7109375" style="25" customWidth="1"/>
    <col min="12554" max="12555" width="10.85546875" style="25" customWidth="1"/>
    <col min="12556" max="12556" width="5.7109375" style="25" customWidth="1"/>
    <col min="12557" max="12800" width="11.42578125" style="25"/>
    <col min="12801" max="12801" width="3.42578125" style="25" customWidth="1"/>
    <col min="12802" max="12802" width="14.85546875" style="25" customWidth="1"/>
    <col min="12803" max="12803" width="15.42578125" style="25" customWidth="1"/>
    <col min="12804" max="12804" width="10.85546875" style="25" customWidth="1"/>
    <col min="12805" max="12805" width="14.42578125" style="25" customWidth="1"/>
    <col min="12806" max="12808" width="10.85546875" style="25" customWidth="1"/>
    <col min="12809" max="12809" width="14.7109375" style="25" customWidth="1"/>
    <col min="12810" max="12811" width="10.85546875" style="25" customWidth="1"/>
    <col min="12812" max="12812" width="5.7109375" style="25" customWidth="1"/>
    <col min="12813" max="13056" width="11.42578125" style="25"/>
    <col min="13057" max="13057" width="3.42578125" style="25" customWidth="1"/>
    <col min="13058" max="13058" width="14.85546875" style="25" customWidth="1"/>
    <col min="13059" max="13059" width="15.42578125" style="25" customWidth="1"/>
    <col min="13060" max="13060" width="10.85546875" style="25" customWidth="1"/>
    <col min="13061" max="13061" width="14.42578125" style="25" customWidth="1"/>
    <col min="13062" max="13064" width="10.85546875" style="25" customWidth="1"/>
    <col min="13065" max="13065" width="14.7109375" style="25" customWidth="1"/>
    <col min="13066" max="13067" width="10.85546875" style="25" customWidth="1"/>
    <col min="13068" max="13068" width="5.7109375" style="25" customWidth="1"/>
    <col min="13069" max="13312" width="11.42578125" style="25"/>
    <col min="13313" max="13313" width="3.42578125" style="25" customWidth="1"/>
    <col min="13314" max="13314" width="14.85546875" style="25" customWidth="1"/>
    <col min="13315" max="13315" width="15.42578125" style="25" customWidth="1"/>
    <col min="13316" max="13316" width="10.85546875" style="25" customWidth="1"/>
    <col min="13317" max="13317" width="14.42578125" style="25" customWidth="1"/>
    <col min="13318" max="13320" width="10.85546875" style="25" customWidth="1"/>
    <col min="13321" max="13321" width="14.7109375" style="25" customWidth="1"/>
    <col min="13322" max="13323" width="10.85546875" style="25" customWidth="1"/>
    <col min="13324" max="13324" width="5.7109375" style="25" customWidth="1"/>
    <col min="13325" max="13568" width="11.42578125" style="25"/>
    <col min="13569" max="13569" width="3.42578125" style="25" customWidth="1"/>
    <col min="13570" max="13570" width="14.85546875" style="25" customWidth="1"/>
    <col min="13571" max="13571" width="15.42578125" style="25" customWidth="1"/>
    <col min="13572" max="13572" width="10.85546875" style="25" customWidth="1"/>
    <col min="13573" max="13573" width="14.42578125" style="25" customWidth="1"/>
    <col min="13574" max="13576" width="10.85546875" style="25" customWidth="1"/>
    <col min="13577" max="13577" width="14.7109375" style="25" customWidth="1"/>
    <col min="13578" max="13579" width="10.85546875" style="25" customWidth="1"/>
    <col min="13580" max="13580" width="5.7109375" style="25" customWidth="1"/>
    <col min="13581" max="13824" width="11.42578125" style="25"/>
    <col min="13825" max="13825" width="3.42578125" style="25" customWidth="1"/>
    <col min="13826" max="13826" width="14.85546875" style="25" customWidth="1"/>
    <col min="13827" max="13827" width="15.42578125" style="25" customWidth="1"/>
    <col min="13828" max="13828" width="10.85546875" style="25" customWidth="1"/>
    <col min="13829" max="13829" width="14.42578125" style="25" customWidth="1"/>
    <col min="13830" max="13832" width="10.85546875" style="25" customWidth="1"/>
    <col min="13833" max="13833" width="14.7109375" style="25" customWidth="1"/>
    <col min="13834" max="13835" width="10.85546875" style="25" customWidth="1"/>
    <col min="13836" max="13836" width="5.7109375" style="25" customWidth="1"/>
    <col min="13837" max="14080" width="11.42578125" style="25"/>
    <col min="14081" max="14081" width="3.42578125" style="25" customWidth="1"/>
    <col min="14082" max="14082" width="14.85546875" style="25" customWidth="1"/>
    <col min="14083" max="14083" width="15.42578125" style="25" customWidth="1"/>
    <col min="14084" max="14084" width="10.85546875" style="25" customWidth="1"/>
    <col min="14085" max="14085" width="14.42578125" style="25" customWidth="1"/>
    <col min="14086" max="14088" width="10.85546875" style="25" customWidth="1"/>
    <col min="14089" max="14089" width="14.7109375" style="25" customWidth="1"/>
    <col min="14090" max="14091" width="10.85546875" style="25" customWidth="1"/>
    <col min="14092" max="14092" width="5.7109375" style="25" customWidth="1"/>
    <col min="14093" max="14336" width="11.42578125" style="25"/>
    <col min="14337" max="14337" width="3.42578125" style="25" customWidth="1"/>
    <col min="14338" max="14338" width="14.85546875" style="25" customWidth="1"/>
    <col min="14339" max="14339" width="15.42578125" style="25" customWidth="1"/>
    <col min="14340" max="14340" width="10.85546875" style="25" customWidth="1"/>
    <col min="14341" max="14341" width="14.42578125" style="25" customWidth="1"/>
    <col min="14342" max="14344" width="10.85546875" style="25" customWidth="1"/>
    <col min="14345" max="14345" width="14.7109375" style="25" customWidth="1"/>
    <col min="14346" max="14347" width="10.85546875" style="25" customWidth="1"/>
    <col min="14348" max="14348" width="5.7109375" style="25" customWidth="1"/>
    <col min="14349" max="14592" width="11.42578125" style="25"/>
    <col min="14593" max="14593" width="3.42578125" style="25" customWidth="1"/>
    <col min="14594" max="14594" width="14.85546875" style="25" customWidth="1"/>
    <col min="14595" max="14595" width="15.42578125" style="25" customWidth="1"/>
    <col min="14596" max="14596" width="10.85546875" style="25" customWidth="1"/>
    <col min="14597" max="14597" width="14.42578125" style="25" customWidth="1"/>
    <col min="14598" max="14600" width="10.85546875" style="25" customWidth="1"/>
    <col min="14601" max="14601" width="14.7109375" style="25" customWidth="1"/>
    <col min="14602" max="14603" width="10.85546875" style="25" customWidth="1"/>
    <col min="14604" max="14604" width="5.7109375" style="25" customWidth="1"/>
    <col min="14605" max="14848" width="11.42578125" style="25"/>
    <col min="14849" max="14849" width="3.42578125" style="25" customWidth="1"/>
    <col min="14850" max="14850" width="14.85546875" style="25" customWidth="1"/>
    <col min="14851" max="14851" width="15.42578125" style="25" customWidth="1"/>
    <col min="14852" max="14852" width="10.85546875" style="25" customWidth="1"/>
    <col min="14853" max="14853" width="14.42578125" style="25" customWidth="1"/>
    <col min="14854" max="14856" width="10.85546875" style="25" customWidth="1"/>
    <col min="14857" max="14857" width="14.7109375" style="25" customWidth="1"/>
    <col min="14858" max="14859" width="10.85546875" style="25" customWidth="1"/>
    <col min="14860" max="14860" width="5.7109375" style="25" customWidth="1"/>
    <col min="14861" max="15104" width="11.42578125" style="25"/>
    <col min="15105" max="15105" width="3.42578125" style="25" customWidth="1"/>
    <col min="15106" max="15106" width="14.85546875" style="25" customWidth="1"/>
    <col min="15107" max="15107" width="15.42578125" style="25" customWidth="1"/>
    <col min="15108" max="15108" width="10.85546875" style="25" customWidth="1"/>
    <col min="15109" max="15109" width="14.42578125" style="25" customWidth="1"/>
    <col min="15110" max="15112" width="10.85546875" style="25" customWidth="1"/>
    <col min="15113" max="15113" width="14.7109375" style="25" customWidth="1"/>
    <col min="15114" max="15115" width="10.85546875" style="25" customWidth="1"/>
    <col min="15116" max="15116" width="5.7109375" style="25" customWidth="1"/>
    <col min="15117" max="15360" width="11.42578125" style="25"/>
    <col min="15361" max="15361" width="3.42578125" style="25" customWidth="1"/>
    <col min="15362" max="15362" width="14.85546875" style="25" customWidth="1"/>
    <col min="15363" max="15363" width="15.42578125" style="25" customWidth="1"/>
    <col min="15364" max="15364" width="10.85546875" style="25" customWidth="1"/>
    <col min="15365" max="15365" width="14.42578125" style="25" customWidth="1"/>
    <col min="15366" max="15368" width="10.85546875" style="25" customWidth="1"/>
    <col min="15369" max="15369" width="14.7109375" style="25" customWidth="1"/>
    <col min="15370" max="15371" width="10.85546875" style="25" customWidth="1"/>
    <col min="15372" max="15372" width="5.7109375" style="25" customWidth="1"/>
    <col min="15373" max="15616" width="11.42578125" style="25"/>
    <col min="15617" max="15617" width="3.42578125" style="25" customWidth="1"/>
    <col min="15618" max="15618" width="14.85546875" style="25" customWidth="1"/>
    <col min="15619" max="15619" width="15.42578125" style="25" customWidth="1"/>
    <col min="15620" max="15620" width="10.85546875" style="25" customWidth="1"/>
    <col min="15621" max="15621" width="14.42578125" style="25" customWidth="1"/>
    <col min="15622" max="15624" width="10.85546875" style="25" customWidth="1"/>
    <col min="15625" max="15625" width="14.7109375" style="25" customWidth="1"/>
    <col min="15626" max="15627" width="10.85546875" style="25" customWidth="1"/>
    <col min="15628" max="15628" width="5.7109375" style="25" customWidth="1"/>
    <col min="15629" max="15872" width="11.42578125" style="25"/>
    <col min="15873" max="15873" width="3.42578125" style="25" customWidth="1"/>
    <col min="15874" max="15874" width="14.85546875" style="25" customWidth="1"/>
    <col min="15875" max="15875" width="15.42578125" style="25" customWidth="1"/>
    <col min="15876" max="15876" width="10.85546875" style="25" customWidth="1"/>
    <col min="15877" max="15877" width="14.42578125" style="25" customWidth="1"/>
    <col min="15878" max="15880" width="10.85546875" style="25" customWidth="1"/>
    <col min="15881" max="15881" width="14.7109375" style="25" customWidth="1"/>
    <col min="15882" max="15883" width="10.85546875" style="25" customWidth="1"/>
    <col min="15884" max="15884" width="5.7109375" style="25" customWidth="1"/>
    <col min="15885" max="16128" width="11.42578125" style="25"/>
    <col min="16129" max="16129" width="3.42578125" style="25" customWidth="1"/>
    <col min="16130" max="16130" width="14.85546875" style="25" customWidth="1"/>
    <col min="16131" max="16131" width="15.42578125" style="25" customWidth="1"/>
    <col min="16132" max="16132" width="10.85546875" style="25" customWidth="1"/>
    <col min="16133" max="16133" width="14.42578125" style="25" customWidth="1"/>
    <col min="16134" max="16136" width="10.85546875" style="25" customWidth="1"/>
    <col min="16137" max="16137" width="14.7109375" style="25" customWidth="1"/>
    <col min="16138" max="16139" width="10.85546875" style="25" customWidth="1"/>
    <col min="16140" max="16140" width="5.7109375" style="25" customWidth="1"/>
    <col min="16141" max="16384" width="11.42578125" style="25"/>
  </cols>
  <sheetData>
    <row r="1" spans="1:22">
      <c r="A1" s="29"/>
      <c r="B1" s="29"/>
      <c r="C1" s="29"/>
      <c r="D1" s="29"/>
      <c r="E1" s="29"/>
      <c r="F1" s="29"/>
      <c r="G1" s="29"/>
      <c r="H1" s="29"/>
      <c r="I1" s="29"/>
      <c r="J1" s="29"/>
      <c r="K1" s="29"/>
      <c r="L1" s="29"/>
    </row>
    <row r="2" spans="1:22" ht="50.1" customHeight="1">
      <c r="A2" s="284" t="s">
        <v>262</v>
      </c>
      <c r="B2" s="285"/>
      <c r="C2" s="285"/>
      <c r="D2" s="285"/>
      <c r="E2" s="285"/>
      <c r="F2" s="285"/>
      <c r="G2" s="285"/>
      <c r="H2" s="285"/>
      <c r="I2" s="285"/>
      <c r="J2" s="285"/>
      <c r="K2" s="285"/>
      <c r="L2" s="285"/>
    </row>
    <row r="3" spans="1:22">
      <c r="A3" s="27" t="s">
        <v>1</v>
      </c>
      <c r="B3" s="27" t="s">
        <v>25</v>
      </c>
      <c r="C3" s="28"/>
      <c r="D3" s="28"/>
      <c r="E3" s="28"/>
      <c r="F3" s="28"/>
      <c r="G3" s="28"/>
      <c r="H3" s="28"/>
      <c r="I3" s="28"/>
      <c r="J3" s="28"/>
      <c r="K3" s="28"/>
      <c r="L3" s="28"/>
    </row>
    <row r="4" spans="1:22" ht="6" customHeight="1">
      <c r="A4" s="29"/>
      <c r="B4" s="29"/>
      <c r="C4" s="29"/>
      <c r="D4" s="29"/>
      <c r="E4" s="29"/>
      <c r="F4" s="29"/>
      <c r="G4" s="29"/>
      <c r="H4" s="29"/>
      <c r="I4" s="29"/>
      <c r="J4" s="29"/>
      <c r="K4" s="29"/>
      <c r="L4" s="29"/>
    </row>
    <row r="5" spans="1:22" ht="20.100000000000001" customHeight="1">
      <c r="A5" s="1"/>
      <c r="B5" s="1" t="s">
        <v>28</v>
      </c>
      <c r="C5" s="286" t="s">
        <v>119</v>
      </c>
      <c r="D5" s="287"/>
      <c r="E5" s="287"/>
      <c r="F5" s="287"/>
      <c r="G5" s="24" t="s">
        <v>97</v>
      </c>
      <c r="H5" s="113"/>
      <c r="I5" s="24" t="s">
        <v>26</v>
      </c>
      <c r="J5" s="289"/>
      <c r="K5" s="290"/>
      <c r="L5" s="290"/>
    </row>
    <row r="6" spans="1:22" ht="20.100000000000001" customHeight="1">
      <c r="A6" s="1"/>
      <c r="B6" s="1" t="s">
        <v>27</v>
      </c>
      <c r="C6" s="288"/>
      <c r="D6" s="288"/>
      <c r="E6" s="288"/>
      <c r="F6" s="288"/>
      <c r="G6" s="24" t="s">
        <v>229</v>
      </c>
      <c r="H6" s="115"/>
      <c r="I6" s="1"/>
      <c r="J6" s="1"/>
      <c r="K6" s="1"/>
      <c r="L6" s="1"/>
    </row>
    <row r="7" spans="1:22" ht="20.100000000000001" customHeight="1">
      <c r="A7" s="1"/>
      <c r="B7" s="1" t="s">
        <v>29</v>
      </c>
      <c r="C7" s="287"/>
      <c r="D7" s="287"/>
      <c r="E7" s="287"/>
      <c r="F7" s="287"/>
      <c r="G7" s="24" t="s">
        <v>100</v>
      </c>
      <c r="H7" s="291"/>
      <c r="I7" s="292"/>
      <c r="J7" s="292"/>
      <c r="K7" s="292"/>
      <c r="L7" s="292"/>
    </row>
    <row r="8" spans="1:22" ht="12.95" customHeight="1">
      <c r="A8" s="29"/>
      <c r="B8" s="29"/>
      <c r="C8" s="29"/>
      <c r="D8" s="29"/>
      <c r="E8" s="29"/>
      <c r="F8" s="29"/>
      <c r="G8" s="29"/>
      <c r="H8" s="29"/>
      <c r="I8" s="29"/>
      <c r="J8" s="29"/>
      <c r="K8" s="29"/>
      <c r="L8" s="29"/>
    </row>
    <row r="9" spans="1:22">
      <c r="A9" s="27" t="s">
        <v>2</v>
      </c>
      <c r="B9" s="27" t="s">
        <v>3</v>
      </c>
      <c r="C9" s="28"/>
      <c r="D9" s="28"/>
      <c r="E9" s="28"/>
      <c r="F9" s="28"/>
      <c r="G9" s="28"/>
      <c r="H9" s="28"/>
      <c r="I9" s="28"/>
      <c r="J9" s="28"/>
      <c r="K9" s="28"/>
      <c r="L9" s="28"/>
    </row>
    <row r="10" spans="1:22" ht="9.9499999999999993" customHeight="1"/>
    <row r="11" spans="1:22" ht="15.75" customHeight="1">
      <c r="B11" s="25" t="s">
        <v>141</v>
      </c>
    </row>
    <row r="12" spans="1:22" ht="15.75" customHeight="1">
      <c r="B12" s="29" t="s">
        <v>142</v>
      </c>
      <c r="C12" s="25" t="s">
        <v>143</v>
      </c>
      <c r="D12" s="39">
        <v>300</v>
      </c>
      <c r="E12" s="25" t="s">
        <v>144</v>
      </c>
    </row>
    <row r="13" spans="1:22" ht="15.75" customHeight="1">
      <c r="B13" s="25" t="s">
        <v>145</v>
      </c>
      <c r="C13" s="25" t="s">
        <v>146</v>
      </c>
      <c r="D13" s="39">
        <v>1000</v>
      </c>
      <c r="E13" s="25" t="s">
        <v>144</v>
      </c>
      <c r="N13" s="40" t="s">
        <v>230</v>
      </c>
      <c r="O13" s="40">
        <v>8</v>
      </c>
      <c r="P13" s="40">
        <v>12</v>
      </c>
      <c r="Q13" s="40">
        <v>16</v>
      </c>
      <c r="R13" s="40">
        <v>20</v>
      </c>
      <c r="S13" s="40">
        <v>25</v>
      </c>
      <c r="T13" s="40">
        <v>32</v>
      </c>
      <c r="V13" s="40" t="s">
        <v>147</v>
      </c>
    </row>
    <row r="14" spans="1:22" ht="19.5" customHeight="1">
      <c r="C14" s="25" t="s">
        <v>148</v>
      </c>
      <c r="D14" s="39">
        <v>20</v>
      </c>
      <c r="E14" s="25" t="s">
        <v>144</v>
      </c>
      <c r="G14" s="41"/>
      <c r="H14" s="42"/>
      <c r="N14" s="43" t="s">
        <v>149</v>
      </c>
      <c r="O14" s="43">
        <v>50.3</v>
      </c>
      <c r="P14" s="43">
        <v>113</v>
      </c>
      <c r="Q14" s="43">
        <v>201</v>
      </c>
      <c r="R14" s="43">
        <v>314</v>
      </c>
      <c r="S14" s="43">
        <v>491</v>
      </c>
      <c r="T14" s="43">
        <v>804</v>
      </c>
      <c r="V14" s="43">
        <v>337</v>
      </c>
    </row>
    <row r="15" spans="1:22" ht="15.75" customHeight="1">
      <c r="B15" s="25" t="s">
        <v>150</v>
      </c>
      <c r="C15" s="25" t="s">
        <v>151</v>
      </c>
      <c r="D15" s="39">
        <v>25</v>
      </c>
      <c r="E15" s="25" t="s">
        <v>144</v>
      </c>
    </row>
    <row r="16" spans="1:22" ht="12.75" customHeight="1">
      <c r="N16" s="25" t="s">
        <v>152</v>
      </c>
    </row>
    <row r="17" spans="2:22" ht="15.75" customHeight="1">
      <c r="B17" s="25" t="s">
        <v>153</v>
      </c>
      <c r="D17" s="44" t="s">
        <v>166</v>
      </c>
      <c r="N17" s="40" t="s">
        <v>153</v>
      </c>
      <c r="O17" s="40" t="s">
        <v>231</v>
      </c>
      <c r="P17" s="40" t="s">
        <v>232</v>
      </c>
      <c r="Q17" s="40" t="s">
        <v>233</v>
      </c>
      <c r="R17" s="40" t="s">
        <v>234</v>
      </c>
      <c r="S17" s="40" t="s">
        <v>235</v>
      </c>
      <c r="T17" s="40" t="s">
        <v>236</v>
      </c>
      <c r="U17" s="40" t="s">
        <v>157</v>
      </c>
      <c r="V17" s="40" t="s">
        <v>158</v>
      </c>
    </row>
    <row r="18" spans="2:22" ht="15.75" customHeight="1">
      <c r="N18" s="43" t="s">
        <v>159</v>
      </c>
      <c r="O18" s="43">
        <v>16</v>
      </c>
      <c r="P18" s="43">
        <v>24</v>
      </c>
      <c r="Q18" s="43">
        <v>1.9</v>
      </c>
      <c r="R18" s="43">
        <v>9.1</v>
      </c>
      <c r="S18" s="43">
        <v>27400</v>
      </c>
      <c r="T18" s="43">
        <v>23400</v>
      </c>
      <c r="U18" s="43">
        <v>50</v>
      </c>
      <c r="V18" s="43">
        <f t="shared" ref="V18:V25" si="0">$I$3/R18</f>
        <v>0</v>
      </c>
    </row>
    <row r="19" spans="2:22" ht="15.75" customHeight="1">
      <c r="B19" s="25" t="s">
        <v>160</v>
      </c>
      <c r="C19" s="25" t="s">
        <v>161</v>
      </c>
      <c r="D19" s="45">
        <f>D12-D15-D14/2</f>
        <v>265</v>
      </c>
      <c r="E19" s="25" t="s">
        <v>144</v>
      </c>
      <c r="N19" s="43" t="s">
        <v>162</v>
      </c>
      <c r="O19" s="43">
        <v>20</v>
      </c>
      <c r="P19" s="43">
        <v>28</v>
      </c>
      <c r="Q19" s="43">
        <v>2.2000000000000002</v>
      </c>
      <c r="R19" s="43">
        <v>11.3</v>
      </c>
      <c r="S19" s="43">
        <v>28800</v>
      </c>
      <c r="T19" s="43">
        <v>24900</v>
      </c>
      <c r="U19" s="43">
        <v>38.4</v>
      </c>
      <c r="V19" s="43">
        <f t="shared" si="0"/>
        <v>0</v>
      </c>
    </row>
    <row r="20" spans="2:22" ht="15.75" customHeight="1">
      <c r="B20" s="25" t="s">
        <v>163</v>
      </c>
      <c r="C20" s="25" t="s">
        <v>164</v>
      </c>
      <c r="D20" s="45">
        <f>0.9*D19</f>
        <v>238.5</v>
      </c>
      <c r="E20" s="25" t="s">
        <v>144</v>
      </c>
      <c r="F20" s="25" t="s">
        <v>165</v>
      </c>
      <c r="N20" s="43" t="s">
        <v>166</v>
      </c>
      <c r="O20" s="43">
        <v>25</v>
      </c>
      <c r="P20" s="43">
        <v>33</v>
      </c>
      <c r="Q20" s="43">
        <v>2.6</v>
      </c>
      <c r="R20" s="43">
        <v>14.2</v>
      </c>
      <c r="S20" s="43">
        <v>30500</v>
      </c>
      <c r="T20" s="43">
        <v>26700</v>
      </c>
      <c r="U20" s="43">
        <v>30.7</v>
      </c>
      <c r="V20" s="43">
        <f t="shared" si="0"/>
        <v>0</v>
      </c>
    </row>
    <row r="21" spans="2:22" ht="15.75" customHeight="1">
      <c r="D21" s="46"/>
      <c r="N21" s="43" t="s">
        <v>167</v>
      </c>
      <c r="O21" s="43">
        <v>30</v>
      </c>
      <c r="P21" s="43">
        <v>38</v>
      </c>
      <c r="Q21" s="43">
        <v>2.9</v>
      </c>
      <c r="R21" s="43">
        <v>17</v>
      </c>
      <c r="S21" s="43">
        <v>31900</v>
      </c>
      <c r="T21" s="43">
        <v>28300</v>
      </c>
      <c r="U21" s="43">
        <v>25.6</v>
      </c>
      <c r="V21" s="43">
        <f t="shared" si="0"/>
        <v>0</v>
      </c>
    </row>
    <row r="22" spans="2:22" ht="15.75" customHeight="1">
      <c r="N22" s="43" t="s">
        <v>154</v>
      </c>
      <c r="O22" s="43">
        <v>35</v>
      </c>
      <c r="P22" s="43">
        <v>43</v>
      </c>
      <c r="Q22" s="43">
        <v>3.2</v>
      </c>
      <c r="R22" s="43">
        <v>19.8</v>
      </c>
      <c r="S22" s="43">
        <v>33300</v>
      </c>
      <c r="T22" s="43">
        <v>29900</v>
      </c>
      <c r="U22" s="43">
        <v>21.9</v>
      </c>
      <c r="V22" s="43">
        <f t="shared" si="0"/>
        <v>0</v>
      </c>
    </row>
    <row r="23" spans="2:22" ht="15.75" customHeight="1">
      <c r="B23" s="25" t="s">
        <v>168</v>
      </c>
      <c r="C23" s="25" t="s">
        <v>169</v>
      </c>
      <c r="D23" s="45">
        <f>D12^2*D13/6/10^9</f>
        <v>1.4999999999999999E-2</v>
      </c>
      <c r="E23" s="25" t="s">
        <v>170</v>
      </c>
      <c r="F23" s="25" t="s">
        <v>171</v>
      </c>
      <c r="N23" s="43" t="s">
        <v>172</v>
      </c>
      <c r="O23" s="43">
        <v>40</v>
      </c>
      <c r="P23" s="43">
        <v>48</v>
      </c>
      <c r="Q23" s="43">
        <v>3.5</v>
      </c>
      <c r="R23" s="43">
        <v>22.7</v>
      </c>
      <c r="S23" s="43">
        <v>34500</v>
      </c>
      <c r="T23" s="43">
        <v>31400</v>
      </c>
      <c r="U23" s="43">
        <v>19.2</v>
      </c>
      <c r="V23" s="43">
        <f t="shared" si="0"/>
        <v>0</v>
      </c>
    </row>
    <row r="24" spans="2:22" ht="15.75" customHeight="1">
      <c r="N24" s="43" t="s">
        <v>173</v>
      </c>
      <c r="O24" s="43">
        <v>45</v>
      </c>
      <c r="P24" s="43">
        <v>53</v>
      </c>
      <c r="Q24" s="43">
        <v>3.8</v>
      </c>
      <c r="R24" s="43">
        <v>25.5</v>
      </c>
      <c r="S24" s="43">
        <v>35700</v>
      </c>
      <c r="T24" s="43">
        <v>32800</v>
      </c>
      <c r="U24" s="43">
        <v>17.100000000000001</v>
      </c>
      <c r="V24" s="43">
        <f t="shared" si="0"/>
        <v>0</v>
      </c>
    </row>
    <row r="25" spans="2:22" ht="15.75" customHeight="1">
      <c r="C25" s="25" t="s">
        <v>174</v>
      </c>
      <c r="D25" s="47">
        <f>VLOOKUP(D17,N18:V25,4)</f>
        <v>2.6</v>
      </c>
      <c r="E25" s="25" t="s">
        <v>175</v>
      </c>
      <c r="N25" s="43" t="s">
        <v>176</v>
      </c>
      <c r="O25" s="43">
        <v>50</v>
      </c>
      <c r="P25" s="43">
        <v>58</v>
      </c>
      <c r="Q25" s="43">
        <v>4.0999999999999996</v>
      </c>
      <c r="R25" s="43">
        <v>28.3</v>
      </c>
      <c r="S25" s="43">
        <v>36800</v>
      </c>
      <c r="T25" s="43">
        <v>34300</v>
      </c>
      <c r="U25" s="43">
        <v>15.3</v>
      </c>
      <c r="V25" s="43">
        <f t="shared" si="0"/>
        <v>0</v>
      </c>
    </row>
    <row r="26" spans="2:22" ht="15.75" customHeight="1">
      <c r="C26" s="25" t="s">
        <v>177</v>
      </c>
      <c r="D26" s="48">
        <f>D23*D25*1000</f>
        <v>39</v>
      </c>
      <c r="E26" s="25" t="s">
        <v>178</v>
      </c>
      <c r="F26" s="25" t="s">
        <v>179</v>
      </c>
    </row>
    <row r="27" spans="2:22" ht="15.75" customHeight="1">
      <c r="C27" s="25" t="s">
        <v>180</v>
      </c>
      <c r="D27" s="47">
        <f>0.83*580</f>
        <v>481.4</v>
      </c>
      <c r="E27" s="25" t="s">
        <v>175</v>
      </c>
    </row>
    <row r="28" spans="2:22" ht="15.75" customHeight="1">
      <c r="N28" s="49" t="s">
        <v>155</v>
      </c>
      <c r="O28" s="25" t="s">
        <v>181</v>
      </c>
    </row>
    <row r="29" spans="2:22" ht="15.75" customHeight="1">
      <c r="N29" s="49" t="s">
        <v>156</v>
      </c>
      <c r="O29" s="25" t="s">
        <v>182</v>
      </c>
    </row>
    <row r="30" spans="2:22" ht="15.75" customHeight="1">
      <c r="C30" s="50" t="s">
        <v>183</v>
      </c>
      <c r="D30" s="51">
        <f>D26/D20/D27*10^6</f>
        <v>339.68012583842199</v>
      </c>
      <c r="E30" s="25" t="s">
        <v>184</v>
      </c>
      <c r="F30" s="25" t="s">
        <v>185</v>
      </c>
      <c r="G30" s="52"/>
    </row>
    <row r="38" hidden="1"/>
    <row r="39" hidden="1"/>
    <row r="40" hidden="1"/>
    <row r="41" hidden="1"/>
    <row r="42" hidden="1"/>
    <row r="43" hidden="1"/>
    <row r="44" hidden="1"/>
    <row r="45" hidden="1"/>
    <row r="46" hidden="1"/>
    <row r="47" hidden="1"/>
    <row r="48" hidden="1"/>
    <row r="49" hidden="1"/>
  </sheetData>
  <sheetProtection algorithmName="SHA-512" hashValue="gEFJjC+ql4CmNGA7v+4EJgghdpy0ZbAZ6lRm07D4qCbUMuMVZ2p1cwCo0NGXkCfZrByaiMYKk0kNTlxUy4z0FQ==" saltValue="IDwvixuA6V+J+jGLcXqM7g==" spinCount="100000" sheet="1" objects="1" scenarios="1" selectLockedCells="1"/>
  <mergeCells count="6">
    <mergeCell ref="A2:L2"/>
    <mergeCell ref="C5:F5"/>
    <mergeCell ref="C6:F6"/>
    <mergeCell ref="C7:F7"/>
    <mergeCell ref="J5:L5"/>
    <mergeCell ref="H7:L7"/>
  </mergeCells>
  <dataValidations disablePrompts="1" count="2">
    <dataValidation type="list" allowBlank="1" showInputMessage="1" showErrorMessage="1" sqref="D17 IZ17 SV17 ACR17 AMN17 AWJ17 BGF17 BQB17 BZX17 CJT17 CTP17 DDL17 DNH17 DXD17 EGZ17 EQV17 FAR17 FKN17 FUJ17 GEF17 GOB17 GXX17 HHT17 HRP17 IBL17 ILH17 IVD17 JEZ17 JOV17 JYR17 KIN17 KSJ17 LCF17 LMB17 LVX17 MFT17 MPP17 MZL17 NJH17 NTD17 OCZ17 OMV17 OWR17 PGN17 PQJ17 QAF17 QKB17 QTX17 RDT17 RNP17 RXL17 SHH17 SRD17 TAZ17 TKV17 TUR17 UEN17 UOJ17 UYF17 VIB17 VRX17 WBT17 WLP17 WVL17 D65553 IZ65553 SV65553 ACR65553 AMN65553 AWJ65553 BGF65553 BQB65553 BZX65553 CJT65553 CTP65553 DDL65553 DNH65553 DXD65553 EGZ65553 EQV65553 FAR65553 FKN65553 FUJ65553 GEF65553 GOB65553 GXX65553 HHT65553 HRP65553 IBL65553 ILH65553 IVD65553 JEZ65553 JOV65553 JYR65553 KIN65553 KSJ65553 LCF65553 LMB65553 LVX65553 MFT65553 MPP65553 MZL65553 NJH65553 NTD65553 OCZ65553 OMV65553 OWR65553 PGN65553 PQJ65553 QAF65553 QKB65553 QTX65553 RDT65553 RNP65553 RXL65553 SHH65553 SRD65553 TAZ65553 TKV65553 TUR65553 UEN65553 UOJ65553 UYF65553 VIB65553 VRX65553 WBT65553 WLP65553 WVL65553 D131089 IZ131089 SV131089 ACR131089 AMN131089 AWJ131089 BGF131089 BQB131089 BZX131089 CJT131089 CTP131089 DDL131089 DNH131089 DXD131089 EGZ131089 EQV131089 FAR131089 FKN131089 FUJ131089 GEF131089 GOB131089 GXX131089 HHT131089 HRP131089 IBL131089 ILH131089 IVD131089 JEZ131089 JOV131089 JYR131089 KIN131089 KSJ131089 LCF131089 LMB131089 LVX131089 MFT131089 MPP131089 MZL131089 NJH131089 NTD131089 OCZ131089 OMV131089 OWR131089 PGN131089 PQJ131089 QAF131089 QKB131089 QTX131089 RDT131089 RNP131089 RXL131089 SHH131089 SRD131089 TAZ131089 TKV131089 TUR131089 UEN131089 UOJ131089 UYF131089 VIB131089 VRX131089 WBT131089 WLP131089 WVL131089 D196625 IZ196625 SV196625 ACR196625 AMN196625 AWJ196625 BGF196625 BQB196625 BZX196625 CJT196625 CTP196625 DDL196625 DNH196625 DXD196625 EGZ196625 EQV196625 FAR196625 FKN196625 FUJ196625 GEF196625 GOB196625 GXX196625 HHT196625 HRP196625 IBL196625 ILH196625 IVD196625 JEZ196625 JOV196625 JYR196625 KIN196625 KSJ196625 LCF196625 LMB196625 LVX196625 MFT196625 MPP196625 MZL196625 NJH196625 NTD196625 OCZ196625 OMV196625 OWR196625 PGN196625 PQJ196625 QAF196625 QKB196625 QTX196625 RDT196625 RNP196625 RXL196625 SHH196625 SRD196625 TAZ196625 TKV196625 TUR196625 UEN196625 UOJ196625 UYF196625 VIB196625 VRX196625 WBT196625 WLP196625 WVL196625 D262161 IZ262161 SV262161 ACR262161 AMN262161 AWJ262161 BGF262161 BQB262161 BZX262161 CJT262161 CTP262161 DDL262161 DNH262161 DXD262161 EGZ262161 EQV262161 FAR262161 FKN262161 FUJ262161 GEF262161 GOB262161 GXX262161 HHT262161 HRP262161 IBL262161 ILH262161 IVD262161 JEZ262161 JOV262161 JYR262161 KIN262161 KSJ262161 LCF262161 LMB262161 LVX262161 MFT262161 MPP262161 MZL262161 NJH262161 NTD262161 OCZ262161 OMV262161 OWR262161 PGN262161 PQJ262161 QAF262161 QKB262161 QTX262161 RDT262161 RNP262161 RXL262161 SHH262161 SRD262161 TAZ262161 TKV262161 TUR262161 UEN262161 UOJ262161 UYF262161 VIB262161 VRX262161 WBT262161 WLP262161 WVL262161 D327697 IZ327697 SV327697 ACR327697 AMN327697 AWJ327697 BGF327697 BQB327697 BZX327697 CJT327697 CTP327697 DDL327697 DNH327697 DXD327697 EGZ327697 EQV327697 FAR327697 FKN327697 FUJ327697 GEF327697 GOB327697 GXX327697 HHT327697 HRP327697 IBL327697 ILH327697 IVD327697 JEZ327697 JOV327697 JYR327697 KIN327697 KSJ327697 LCF327697 LMB327697 LVX327697 MFT327697 MPP327697 MZL327697 NJH327697 NTD327697 OCZ327697 OMV327697 OWR327697 PGN327697 PQJ327697 QAF327697 QKB327697 QTX327697 RDT327697 RNP327697 RXL327697 SHH327697 SRD327697 TAZ327697 TKV327697 TUR327697 UEN327697 UOJ327697 UYF327697 VIB327697 VRX327697 WBT327697 WLP327697 WVL327697 D393233 IZ393233 SV393233 ACR393233 AMN393233 AWJ393233 BGF393233 BQB393233 BZX393233 CJT393233 CTP393233 DDL393233 DNH393233 DXD393233 EGZ393233 EQV393233 FAR393233 FKN393233 FUJ393233 GEF393233 GOB393233 GXX393233 HHT393233 HRP393233 IBL393233 ILH393233 IVD393233 JEZ393233 JOV393233 JYR393233 KIN393233 KSJ393233 LCF393233 LMB393233 LVX393233 MFT393233 MPP393233 MZL393233 NJH393233 NTD393233 OCZ393233 OMV393233 OWR393233 PGN393233 PQJ393233 QAF393233 QKB393233 QTX393233 RDT393233 RNP393233 RXL393233 SHH393233 SRD393233 TAZ393233 TKV393233 TUR393233 UEN393233 UOJ393233 UYF393233 VIB393233 VRX393233 WBT393233 WLP393233 WVL393233 D458769 IZ458769 SV458769 ACR458769 AMN458769 AWJ458769 BGF458769 BQB458769 BZX458769 CJT458769 CTP458769 DDL458769 DNH458769 DXD458769 EGZ458769 EQV458769 FAR458769 FKN458769 FUJ458769 GEF458769 GOB458769 GXX458769 HHT458769 HRP458769 IBL458769 ILH458769 IVD458769 JEZ458769 JOV458769 JYR458769 KIN458769 KSJ458769 LCF458769 LMB458769 LVX458769 MFT458769 MPP458769 MZL458769 NJH458769 NTD458769 OCZ458769 OMV458769 OWR458769 PGN458769 PQJ458769 QAF458769 QKB458769 QTX458769 RDT458769 RNP458769 RXL458769 SHH458769 SRD458769 TAZ458769 TKV458769 TUR458769 UEN458769 UOJ458769 UYF458769 VIB458769 VRX458769 WBT458769 WLP458769 WVL458769 D524305 IZ524305 SV524305 ACR524305 AMN524305 AWJ524305 BGF524305 BQB524305 BZX524305 CJT524305 CTP524305 DDL524305 DNH524305 DXD524305 EGZ524305 EQV524305 FAR524305 FKN524305 FUJ524305 GEF524305 GOB524305 GXX524305 HHT524305 HRP524305 IBL524305 ILH524305 IVD524305 JEZ524305 JOV524305 JYR524305 KIN524305 KSJ524305 LCF524305 LMB524305 LVX524305 MFT524305 MPP524305 MZL524305 NJH524305 NTD524305 OCZ524305 OMV524305 OWR524305 PGN524305 PQJ524305 QAF524305 QKB524305 QTX524305 RDT524305 RNP524305 RXL524305 SHH524305 SRD524305 TAZ524305 TKV524305 TUR524305 UEN524305 UOJ524305 UYF524305 VIB524305 VRX524305 WBT524305 WLP524305 WVL524305 D589841 IZ589841 SV589841 ACR589841 AMN589841 AWJ589841 BGF589841 BQB589841 BZX589841 CJT589841 CTP589841 DDL589841 DNH589841 DXD589841 EGZ589841 EQV589841 FAR589841 FKN589841 FUJ589841 GEF589841 GOB589841 GXX589841 HHT589841 HRP589841 IBL589841 ILH589841 IVD589841 JEZ589841 JOV589841 JYR589841 KIN589841 KSJ589841 LCF589841 LMB589841 LVX589841 MFT589841 MPP589841 MZL589841 NJH589841 NTD589841 OCZ589841 OMV589841 OWR589841 PGN589841 PQJ589841 QAF589841 QKB589841 QTX589841 RDT589841 RNP589841 RXL589841 SHH589841 SRD589841 TAZ589841 TKV589841 TUR589841 UEN589841 UOJ589841 UYF589841 VIB589841 VRX589841 WBT589841 WLP589841 WVL589841 D655377 IZ655377 SV655377 ACR655377 AMN655377 AWJ655377 BGF655377 BQB655377 BZX655377 CJT655377 CTP655377 DDL655377 DNH655377 DXD655377 EGZ655377 EQV655377 FAR655377 FKN655377 FUJ655377 GEF655377 GOB655377 GXX655377 HHT655377 HRP655377 IBL655377 ILH655377 IVD655377 JEZ655377 JOV655377 JYR655377 KIN655377 KSJ655377 LCF655377 LMB655377 LVX655377 MFT655377 MPP655377 MZL655377 NJH655377 NTD655377 OCZ655377 OMV655377 OWR655377 PGN655377 PQJ655377 QAF655377 QKB655377 QTX655377 RDT655377 RNP655377 RXL655377 SHH655377 SRD655377 TAZ655377 TKV655377 TUR655377 UEN655377 UOJ655377 UYF655377 VIB655377 VRX655377 WBT655377 WLP655377 WVL655377 D720913 IZ720913 SV720913 ACR720913 AMN720913 AWJ720913 BGF720913 BQB720913 BZX720913 CJT720913 CTP720913 DDL720913 DNH720913 DXD720913 EGZ720913 EQV720913 FAR720913 FKN720913 FUJ720913 GEF720913 GOB720913 GXX720913 HHT720913 HRP720913 IBL720913 ILH720913 IVD720913 JEZ720913 JOV720913 JYR720913 KIN720913 KSJ720913 LCF720913 LMB720913 LVX720913 MFT720913 MPP720913 MZL720913 NJH720913 NTD720913 OCZ720913 OMV720913 OWR720913 PGN720913 PQJ720913 QAF720913 QKB720913 QTX720913 RDT720913 RNP720913 RXL720913 SHH720913 SRD720913 TAZ720913 TKV720913 TUR720913 UEN720913 UOJ720913 UYF720913 VIB720913 VRX720913 WBT720913 WLP720913 WVL720913 D786449 IZ786449 SV786449 ACR786449 AMN786449 AWJ786449 BGF786449 BQB786449 BZX786449 CJT786449 CTP786449 DDL786449 DNH786449 DXD786449 EGZ786449 EQV786449 FAR786449 FKN786449 FUJ786449 GEF786449 GOB786449 GXX786449 HHT786449 HRP786449 IBL786449 ILH786449 IVD786449 JEZ786449 JOV786449 JYR786449 KIN786449 KSJ786449 LCF786449 LMB786449 LVX786449 MFT786449 MPP786449 MZL786449 NJH786449 NTD786449 OCZ786449 OMV786449 OWR786449 PGN786449 PQJ786449 QAF786449 QKB786449 QTX786449 RDT786449 RNP786449 RXL786449 SHH786449 SRD786449 TAZ786449 TKV786449 TUR786449 UEN786449 UOJ786449 UYF786449 VIB786449 VRX786449 WBT786449 WLP786449 WVL786449 D851985 IZ851985 SV851985 ACR851985 AMN851985 AWJ851985 BGF851985 BQB851985 BZX851985 CJT851985 CTP851985 DDL851985 DNH851985 DXD851985 EGZ851985 EQV851985 FAR851985 FKN851985 FUJ851985 GEF851985 GOB851985 GXX851985 HHT851985 HRP851985 IBL851985 ILH851985 IVD851985 JEZ851985 JOV851985 JYR851985 KIN851985 KSJ851985 LCF851985 LMB851985 LVX851985 MFT851985 MPP851985 MZL851985 NJH851985 NTD851985 OCZ851985 OMV851985 OWR851985 PGN851985 PQJ851985 QAF851985 QKB851985 QTX851985 RDT851985 RNP851985 RXL851985 SHH851985 SRD851985 TAZ851985 TKV851985 TUR851985 UEN851985 UOJ851985 UYF851985 VIB851985 VRX851985 WBT851985 WLP851985 WVL851985 D917521 IZ917521 SV917521 ACR917521 AMN917521 AWJ917521 BGF917521 BQB917521 BZX917521 CJT917521 CTP917521 DDL917521 DNH917521 DXD917521 EGZ917521 EQV917521 FAR917521 FKN917521 FUJ917521 GEF917521 GOB917521 GXX917521 HHT917521 HRP917521 IBL917521 ILH917521 IVD917521 JEZ917521 JOV917521 JYR917521 KIN917521 KSJ917521 LCF917521 LMB917521 LVX917521 MFT917521 MPP917521 MZL917521 NJH917521 NTD917521 OCZ917521 OMV917521 OWR917521 PGN917521 PQJ917521 QAF917521 QKB917521 QTX917521 RDT917521 RNP917521 RXL917521 SHH917521 SRD917521 TAZ917521 TKV917521 TUR917521 UEN917521 UOJ917521 UYF917521 VIB917521 VRX917521 WBT917521 WLP917521 WVL917521 D983057 IZ983057 SV983057 ACR983057 AMN983057 AWJ983057 BGF983057 BQB983057 BZX983057 CJT983057 CTP983057 DDL983057 DNH983057 DXD983057 EGZ983057 EQV983057 FAR983057 FKN983057 FUJ983057 GEF983057 GOB983057 GXX983057 HHT983057 HRP983057 IBL983057 ILH983057 IVD983057 JEZ983057 JOV983057 JYR983057 KIN983057 KSJ983057 LCF983057 LMB983057 LVX983057 MFT983057 MPP983057 MZL983057 NJH983057 NTD983057 OCZ983057 OMV983057 OWR983057 PGN983057 PQJ983057 QAF983057 QKB983057 QTX983057 RDT983057 RNP983057 RXL983057 SHH983057 SRD983057 TAZ983057 TKV983057 TUR983057 UEN983057 UOJ983057 UYF983057 VIB983057 VRX983057 WBT983057 WLP983057 WVL983057" xr:uid="{00000000-0002-0000-0100-000000000000}">
      <formula1>$N$18:$N$25</formula1>
    </dataValidation>
    <dataValidation type="list" allowBlank="1" showInputMessage="1" showErrorMessage="1" sqref="IZ14 WVL983054 WLP983054 WBT983054 VRX983054 VIB983054 UYF983054 UOJ983054 UEN983054 TUR983054 TKV983054 TAZ983054 SRD983054 SHH983054 RXL983054 RNP983054 RDT983054 QTX983054 QKB983054 QAF983054 PQJ983054 PGN983054 OWR983054 OMV983054 OCZ983054 NTD983054 NJH983054 MZL983054 MPP983054 MFT983054 LVX983054 LMB983054 LCF983054 KSJ983054 KIN983054 JYR983054 JOV983054 JEZ983054 IVD983054 ILH983054 IBL983054 HRP983054 HHT983054 GXX983054 GOB983054 GEF983054 FUJ983054 FKN983054 FAR983054 EQV983054 EGZ983054 DXD983054 DNH983054 DDL983054 CTP983054 CJT983054 BZX983054 BQB983054 BGF983054 AWJ983054 AMN983054 ACR983054 SV983054 IZ983054 D983054 WVL917518 WLP917518 WBT917518 VRX917518 VIB917518 UYF917518 UOJ917518 UEN917518 TUR917518 TKV917518 TAZ917518 SRD917518 SHH917518 RXL917518 RNP917518 RDT917518 QTX917518 QKB917518 QAF917518 PQJ917518 PGN917518 OWR917518 OMV917518 OCZ917518 NTD917518 NJH917518 MZL917518 MPP917518 MFT917518 LVX917518 LMB917518 LCF917518 KSJ917518 KIN917518 JYR917518 JOV917518 JEZ917518 IVD917518 ILH917518 IBL917518 HRP917518 HHT917518 GXX917518 GOB917518 GEF917518 FUJ917518 FKN917518 FAR917518 EQV917518 EGZ917518 DXD917518 DNH917518 DDL917518 CTP917518 CJT917518 BZX917518 BQB917518 BGF917518 AWJ917518 AMN917518 ACR917518 SV917518 IZ917518 D917518 WVL851982 WLP851982 WBT851982 VRX851982 VIB851982 UYF851982 UOJ851982 UEN851982 TUR851982 TKV851982 TAZ851982 SRD851982 SHH851982 RXL851982 RNP851982 RDT851982 QTX851982 QKB851982 QAF851982 PQJ851982 PGN851982 OWR851982 OMV851982 OCZ851982 NTD851982 NJH851982 MZL851982 MPP851982 MFT851982 LVX851982 LMB851982 LCF851982 KSJ851982 KIN851982 JYR851982 JOV851982 JEZ851982 IVD851982 ILH851982 IBL851982 HRP851982 HHT851982 GXX851982 GOB851982 GEF851982 FUJ851982 FKN851982 FAR851982 EQV851982 EGZ851982 DXD851982 DNH851982 DDL851982 CTP851982 CJT851982 BZX851982 BQB851982 BGF851982 AWJ851982 AMN851982 ACR851982 SV851982 IZ851982 D851982 WVL786446 WLP786446 WBT786446 VRX786446 VIB786446 UYF786446 UOJ786446 UEN786446 TUR786446 TKV786446 TAZ786446 SRD786446 SHH786446 RXL786446 RNP786446 RDT786446 QTX786446 QKB786446 QAF786446 PQJ786446 PGN786446 OWR786446 OMV786446 OCZ786446 NTD786446 NJH786446 MZL786446 MPP786446 MFT786446 LVX786446 LMB786446 LCF786446 KSJ786446 KIN786446 JYR786446 JOV786446 JEZ786446 IVD786446 ILH786446 IBL786446 HRP786446 HHT786446 GXX786446 GOB786446 GEF786446 FUJ786446 FKN786446 FAR786446 EQV786446 EGZ786446 DXD786446 DNH786446 DDL786446 CTP786446 CJT786446 BZX786446 BQB786446 BGF786446 AWJ786446 AMN786446 ACR786446 SV786446 IZ786446 D786446 WVL720910 WLP720910 WBT720910 VRX720910 VIB720910 UYF720910 UOJ720910 UEN720910 TUR720910 TKV720910 TAZ720910 SRD720910 SHH720910 RXL720910 RNP720910 RDT720910 QTX720910 QKB720910 QAF720910 PQJ720910 PGN720910 OWR720910 OMV720910 OCZ720910 NTD720910 NJH720910 MZL720910 MPP720910 MFT720910 LVX720910 LMB720910 LCF720910 KSJ720910 KIN720910 JYR720910 JOV720910 JEZ720910 IVD720910 ILH720910 IBL720910 HRP720910 HHT720910 GXX720910 GOB720910 GEF720910 FUJ720910 FKN720910 FAR720910 EQV720910 EGZ720910 DXD720910 DNH720910 DDL720910 CTP720910 CJT720910 BZX720910 BQB720910 BGF720910 AWJ720910 AMN720910 ACR720910 SV720910 IZ720910 D720910 WVL655374 WLP655374 WBT655374 VRX655374 VIB655374 UYF655374 UOJ655374 UEN655374 TUR655374 TKV655374 TAZ655374 SRD655374 SHH655374 RXL655374 RNP655374 RDT655374 QTX655374 QKB655374 QAF655374 PQJ655374 PGN655374 OWR655374 OMV655374 OCZ655374 NTD655374 NJH655374 MZL655374 MPP655374 MFT655374 LVX655374 LMB655374 LCF655374 KSJ655374 KIN655374 JYR655374 JOV655374 JEZ655374 IVD655374 ILH655374 IBL655374 HRP655374 HHT655374 GXX655374 GOB655374 GEF655374 FUJ655374 FKN655374 FAR655374 EQV655374 EGZ655374 DXD655374 DNH655374 DDL655374 CTP655374 CJT655374 BZX655374 BQB655374 BGF655374 AWJ655374 AMN655374 ACR655374 SV655374 IZ655374 D655374 WVL589838 WLP589838 WBT589838 VRX589838 VIB589838 UYF589838 UOJ589838 UEN589838 TUR589838 TKV589838 TAZ589838 SRD589838 SHH589838 RXL589838 RNP589838 RDT589838 QTX589838 QKB589838 QAF589838 PQJ589838 PGN589838 OWR589838 OMV589838 OCZ589838 NTD589838 NJH589838 MZL589838 MPP589838 MFT589838 LVX589838 LMB589838 LCF589838 KSJ589838 KIN589838 JYR589838 JOV589838 JEZ589838 IVD589838 ILH589838 IBL589838 HRP589838 HHT589838 GXX589838 GOB589838 GEF589838 FUJ589838 FKN589838 FAR589838 EQV589838 EGZ589838 DXD589838 DNH589838 DDL589838 CTP589838 CJT589838 BZX589838 BQB589838 BGF589838 AWJ589838 AMN589838 ACR589838 SV589838 IZ589838 D589838 WVL524302 WLP524302 WBT524302 VRX524302 VIB524302 UYF524302 UOJ524302 UEN524302 TUR524302 TKV524302 TAZ524302 SRD524302 SHH524302 RXL524302 RNP524302 RDT524302 QTX524302 QKB524302 QAF524302 PQJ524302 PGN524302 OWR524302 OMV524302 OCZ524302 NTD524302 NJH524302 MZL524302 MPP524302 MFT524302 LVX524302 LMB524302 LCF524302 KSJ524302 KIN524302 JYR524302 JOV524302 JEZ524302 IVD524302 ILH524302 IBL524302 HRP524302 HHT524302 GXX524302 GOB524302 GEF524302 FUJ524302 FKN524302 FAR524302 EQV524302 EGZ524302 DXD524302 DNH524302 DDL524302 CTP524302 CJT524302 BZX524302 BQB524302 BGF524302 AWJ524302 AMN524302 ACR524302 SV524302 IZ524302 D524302 WVL458766 WLP458766 WBT458766 VRX458766 VIB458766 UYF458766 UOJ458766 UEN458766 TUR458766 TKV458766 TAZ458766 SRD458766 SHH458766 RXL458766 RNP458766 RDT458766 QTX458766 QKB458766 QAF458766 PQJ458766 PGN458766 OWR458766 OMV458766 OCZ458766 NTD458766 NJH458766 MZL458766 MPP458766 MFT458766 LVX458766 LMB458766 LCF458766 KSJ458766 KIN458766 JYR458766 JOV458766 JEZ458766 IVD458766 ILH458766 IBL458766 HRP458766 HHT458766 GXX458766 GOB458766 GEF458766 FUJ458766 FKN458766 FAR458766 EQV458766 EGZ458766 DXD458766 DNH458766 DDL458766 CTP458766 CJT458766 BZX458766 BQB458766 BGF458766 AWJ458766 AMN458766 ACR458766 SV458766 IZ458766 D458766 WVL393230 WLP393230 WBT393230 VRX393230 VIB393230 UYF393230 UOJ393230 UEN393230 TUR393230 TKV393230 TAZ393230 SRD393230 SHH393230 RXL393230 RNP393230 RDT393230 QTX393230 QKB393230 QAF393230 PQJ393230 PGN393230 OWR393230 OMV393230 OCZ393230 NTD393230 NJH393230 MZL393230 MPP393230 MFT393230 LVX393230 LMB393230 LCF393230 KSJ393230 KIN393230 JYR393230 JOV393230 JEZ393230 IVD393230 ILH393230 IBL393230 HRP393230 HHT393230 GXX393230 GOB393230 GEF393230 FUJ393230 FKN393230 FAR393230 EQV393230 EGZ393230 DXD393230 DNH393230 DDL393230 CTP393230 CJT393230 BZX393230 BQB393230 BGF393230 AWJ393230 AMN393230 ACR393230 SV393230 IZ393230 D393230 WVL327694 WLP327694 WBT327694 VRX327694 VIB327694 UYF327694 UOJ327694 UEN327694 TUR327694 TKV327694 TAZ327694 SRD327694 SHH327694 RXL327694 RNP327694 RDT327694 QTX327694 QKB327694 QAF327694 PQJ327694 PGN327694 OWR327694 OMV327694 OCZ327694 NTD327694 NJH327694 MZL327694 MPP327694 MFT327694 LVX327694 LMB327694 LCF327694 KSJ327694 KIN327694 JYR327694 JOV327694 JEZ327694 IVD327694 ILH327694 IBL327694 HRP327694 HHT327694 GXX327694 GOB327694 GEF327694 FUJ327694 FKN327694 FAR327694 EQV327694 EGZ327694 DXD327694 DNH327694 DDL327694 CTP327694 CJT327694 BZX327694 BQB327694 BGF327694 AWJ327694 AMN327694 ACR327694 SV327694 IZ327694 D327694 WVL262158 WLP262158 WBT262158 VRX262158 VIB262158 UYF262158 UOJ262158 UEN262158 TUR262158 TKV262158 TAZ262158 SRD262158 SHH262158 RXL262158 RNP262158 RDT262158 QTX262158 QKB262158 QAF262158 PQJ262158 PGN262158 OWR262158 OMV262158 OCZ262158 NTD262158 NJH262158 MZL262158 MPP262158 MFT262158 LVX262158 LMB262158 LCF262158 KSJ262158 KIN262158 JYR262158 JOV262158 JEZ262158 IVD262158 ILH262158 IBL262158 HRP262158 HHT262158 GXX262158 GOB262158 GEF262158 FUJ262158 FKN262158 FAR262158 EQV262158 EGZ262158 DXD262158 DNH262158 DDL262158 CTP262158 CJT262158 BZX262158 BQB262158 BGF262158 AWJ262158 AMN262158 ACR262158 SV262158 IZ262158 D262158 WVL196622 WLP196622 WBT196622 VRX196622 VIB196622 UYF196622 UOJ196622 UEN196622 TUR196622 TKV196622 TAZ196622 SRD196622 SHH196622 RXL196622 RNP196622 RDT196622 QTX196622 QKB196622 QAF196622 PQJ196622 PGN196622 OWR196622 OMV196622 OCZ196622 NTD196622 NJH196622 MZL196622 MPP196622 MFT196622 LVX196622 LMB196622 LCF196622 KSJ196622 KIN196622 JYR196622 JOV196622 JEZ196622 IVD196622 ILH196622 IBL196622 HRP196622 HHT196622 GXX196622 GOB196622 GEF196622 FUJ196622 FKN196622 FAR196622 EQV196622 EGZ196622 DXD196622 DNH196622 DDL196622 CTP196622 CJT196622 BZX196622 BQB196622 BGF196622 AWJ196622 AMN196622 ACR196622 SV196622 IZ196622 D196622 WVL131086 WLP131086 WBT131086 VRX131086 VIB131086 UYF131086 UOJ131086 UEN131086 TUR131086 TKV131086 TAZ131086 SRD131086 SHH131086 RXL131086 RNP131086 RDT131086 QTX131086 QKB131086 QAF131086 PQJ131086 PGN131086 OWR131086 OMV131086 OCZ131086 NTD131086 NJH131086 MZL131086 MPP131086 MFT131086 LVX131086 LMB131086 LCF131086 KSJ131086 KIN131086 JYR131086 JOV131086 JEZ131086 IVD131086 ILH131086 IBL131086 HRP131086 HHT131086 GXX131086 GOB131086 GEF131086 FUJ131086 FKN131086 FAR131086 EQV131086 EGZ131086 DXD131086 DNH131086 DDL131086 CTP131086 CJT131086 BZX131086 BQB131086 BGF131086 AWJ131086 AMN131086 ACR131086 SV131086 IZ131086 D131086 WVL65550 WLP65550 WBT65550 VRX65550 VIB65550 UYF65550 UOJ65550 UEN65550 TUR65550 TKV65550 TAZ65550 SRD65550 SHH65550 RXL65550 RNP65550 RDT65550 QTX65550 QKB65550 QAF65550 PQJ65550 PGN65550 OWR65550 OMV65550 OCZ65550 NTD65550 NJH65550 MZL65550 MPP65550 MFT65550 LVX65550 LMB65550 LCF65550 KSJ65550 KIN65550 JYR65550 JOV65550 JEZ65550 IVD65550 ILH65550 IBL65550 HRP65550 HHT65550 GXX65550 GOB65550 GEF65550 FUJ65550 FKN65550 FAR65550 EQV65550 EGZ65550 DXD65550 DNH65550 DDL65550 CTP65550 CJT65550 BZX65550 BQB65550 BGF65550 AWJ65550 AMN65550 ACR65550 SV65550 IZ65550 D65550 WVL14 WLP14 WBT14 VRX14 VIB14 UYF14 UOJ14 UEN14 TUR14 TKV14 TAZ14 SRD14 SHH14 RXL14 RNP14 RDT14 QTX14 QKB14 QAF14 PQJ14 PGN14 OWR14 OMV14 OCZ14 NTD14 NJH14 MZL14 MPP14 MFT14 LVX14 LMB14 LCF14 KSJ14 KIN14 JYR14 JOV14 JEZ14 IVD14 ILH14 IBL14 HRP14 HHT14 GXX14 GOB14 GEF14 FUJ14 FKN14 FAR14 EQV14 EGZ14 DXD14 DNH14 DDL14 CTP14 CJT14 BZX14 BQB14 BGF14 AWJ14 AMN14 ACR14 SV14 D14" xr:uid="{00000000-0002-0000-0100-000001000000}">
      <formula1>$O$13:$T$13</formula1>
    </dataValidation>
  </dataValidations>
  <pageMargins left="0.78740157480314965" right="0.78740157480314965" top="0.94488188976377963" bottom="0.78740157480314965" header="0.51181102362204722" footer="0.51181102362204722"/>
  <pageSetup paperSize="9" scale="65" orientation="portrait" horizontalDpi="4294967293" r:id="rId1"/>
  <headerFooter>
    <oddFooter>&amp;L&amp;8&amp;F&amp;C
&amp;R&amp;8Bemessungshilfe Schöck Combar® V 2.2</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C8A69-8AF6-4A47-90D7-5EFB79B61CC4}">
  <sheetPr>
    <pageSetUpPr fitToPage="1"/>
  </sheetPr>
  <dimension ref="A1:N51"/>
  <sheetViews>
    <sheetView showGridLines="0" showRuler="0" zoomScale="85" zoomScaleNormal="85" zoomScalePageLayoutView="96" workbookViewId="0">
      <selection activeCell="C5" sqref="C5:F5"/>
    </sheetView>
  </sheetViews>
  <sheetFormatPr baseColWidth="10" defaultRowHeight="12.75"/>
  <cols>
    <col min="1" max="1" width="3.42578125" style="265" customWidth="1"/>
    <col min="2" max="2" width="29.85546875" style="265" customWidth="1"/>
    <col min="3" max="3" width="15.42578125" style="265" customWidth="1"/>
    <col min="4" max="4" width="10.85546875" style="265" customWidth="1"/>
    <col min="5" max="5" width="14.42578125" style="265" customWidth="1"/>
    <col min="6" max="8" width="10.85546875" style="265" customWidth="1"/>
    <col min="9" max="9" width="14.7109375" style="265" customWidth="1"/>
    <col min="10" max="11" width="10.85546875" style="265" customWidth="1"/>
    <col min="12" max="12" width="11.140625" style="265" customWidth="1"/>
    <col min="13" max="247" width="11.42578125" style="265"/>
    <col min="248" max="248" width="3.42578125" style="265" customWidth="1"/>
    <col min="249" max="249" width="14.85546875" style="265" customWidth="1"/>
    <col min="250" max="250" width="15.42578125" style="265" customWidth="1"/>
    <col min="251" max="251" width="10.85546875" style="265" customWidth="1"/>
    <col min="252" max="252" width="14.42578125" style="265" customWidth="1"/>
    <col min="253" max="255" width="10.85546875" style="265" customWidth="1"/>
    <col min="256" max="256" width="14.7109375" style="265" customWidth="1"/>
    <col min="257" max="258" width="10.85546875" style="265" customWidth="1"/>
    <col min="259" max="259" width="5.7109375" style="265" customWidth="1"/>
    <col min="260" max="503" width="11.42578125" style="265"/>
    <col min="504" max="504" width="3.42578125" style="265" customWidth="1"/>
    <col min="505" max="505" width="14.85546875" style="265" customWidth="1"/>
    <col min="506" max="506" width="15.42578125" style="265" customWidth="1"/>
    <col min="507" max="507" width="10.85546875" style="265" customWidth="1"/>
    <col min="508" max="508" width="14.42578125" style="265" customWidth="1"/>
    <col min="509" max="511" width="10.85546875" style="265" customWidth="1"/>
    <col min="512" max="512" width="14.7109375" style="265" customWidth="1"/>
    <col min="513" max="514" width="10.85546875" style="265" customWidth="1"/>
    <col min="515" max="515" width="5.7109375" style="265" customWidth="1"/>
    <col min="516" max="759" width="11.42578125" style="265"/>
    <col min="760" max="760" width="3.42578125" style="265" customWidth="1"/>
    <col min="761" max="761" width="14.85546875" style="265" customWidth="1"/>
    <col min="762" max="762" width="15.42578125" style="265" customWidth="1"/>
    <col min="763" max="763" width="10.85546875" style="265" customWidth="1"/>
    <col min="764" max="764" width="14.42578125" style="265" customWidth="1"/>
    <col min="765" max="767" width="10.85546875" style="265" customWidth="1"/>
    <col min="768" max="768" width="14.7109375" style="265" customWidth="1"/>
    <col min="769" max="770" width="10.85546875" style="265" customWidth="1"/>
    <col min="771" max="771" width="5.7109375" style="265" customWidth="1"/>
    <col min="772" max="1015" width="11.42578125" style="265"/>
    <col min="1016" max="1016" width="3.42578125" style="265" customWidth="1"/>
    <col min="1017" max="1017" width="14.85546875" style="265" customWidth="1"/>
    <col min="1018" max="1018" width="15.42578125" style="265" customWidth="1"/>
    <col min="1019" max="1019" width="10.85546875" style="265" customWidth="1"/>
    <col min="1020" max="1020" width="14.42578125" style="265" customWidth="1"/>
    <col min="1021" max="1023" width="10.85546875" style="265" customWidth="1"/>
    <col min="1024" max="1024" width="14.7109375" style="265" customWidth="1"/>
    <col min="1025" max="1026" width="10.85546875" style="265" customWidth="1"/>
    <col min="1027" max="1027" width="5.7109375" style="265" customWidth="1"/>
    <col min="1028" max="1271" width="11.42578125" style="265"/>
    <col min="1272" max="1272" width="3.42578125" style="265" customWidth="1"/>
    <col min="1273" max="1273" width="14.85546875" style="265" customWidth="1"/>
    <col min="1274" max="1274" width="15.42578125" style="265" customWidth="1"/>
    <col min="1275" max="1275" width="10.85546875" style="265" customWidth="1"/>
    <col min="1276" max="1276" width="14.42578125" style="265" customWidth="1"/>
    <col min="1277" max="1279" width="10.85546875" style="265" customWidth="1"/>
    <col min="1280" max="1280" width="14.7109375" style="265" customWidth="1"/>
    <col min="1281" max="1282" width="10.85546875" style="265" customWidth="1"/>
    <col min="1283" max="1283" width="5.7109375" style="265" customWidth="1"/>
    <col min="1284" max="1527" width="11.42578125" style="265"/>
    <col min="1528" max="1528" width="3.42578125" style="265" customWidth="1"/>
    <col min="1529" max="1529" width="14.85546875" style="265" customWidth="1"/>
    <col min="1530" max="1530" width="15.42578125" style="265" customWidth="1"/>
    <col min="1531" max="1531" width="10.85546875" style="265" customWidth="1"/>
    <col min="1532" max="1532" width="14.42578125" style="265" customWidth="1"/>
    <col min="1533" max="1535" width="10.85546875" style="265" customWidth="1"/>
    <col min="1536" max="1536" width="14.7109375" style="265" customWidth="1"/>
    <col min="1537" max="1538" width="10.85546875" style="265" customWidth="1"/>
    <col min="1539" max="1539" width="5.7109375" style="265" customWidth="1"/>
    <col min="1540" max="1783" width="11.42578125" style="265"/>
    <col min="1784" max="1784" width="3.42578125" style="265" customWidth="1"/>
    <col min="1785" max="1785" width="14.85546875" style="265" customWidth="1"/>
    <col min="1786" max="1786" width="15.42578125" style="265" customWidth="1"/>
    <col min="1787" max="1787" width="10.85546875" style="265" customWidth="1"/>
    <col min="1788" max="1788" width="14.42578125" style="265" customWidth="1"/>
    <col min="1789" max="1791" width="10.85546875" style="265" customWidth="1"/>
    <col min="1792" max="1792" width="14.7109375" style="265" customWidth="1"/>
    <col min="1793" max="1794" width="10.85546875" style="265" customWidth="1"/>
    <col min="1795" max="1795" width="5.7109375" style="265" customWidth="1"/>
    <col min="1796" max="2039" width="11.42578125" style="265"/>
    <col min="2040" max="2040" width="3.42578125" style="265" customWidth="1"/>
    <col min="2041" max="2041" width="14.85546875" style="265" customWidth="1"/>
    <col min="2042" max="2042" width="15.42578125" style="265" customWidth="1"/>
    <col min="2043" max="2043" width="10.85546875" style="265" customWidth="1"/>
    <col min="2044" max="2044" width="14.42578125" style="265" customWidth="1"/>
    <col min="2045" max="2047" width="10.85546875" style="265" customWidth="1"/>
    <col min="2048" max="2048" width="14.7109375" style="265" customWidth="1"/>
    <col min="2049" max="2050" width="10.85546875" style="265" customWidth="1"/>
    <col min="2051" max="2051" width="5.7109375" style="265" customWidth="1"/>
    <col min="2052" max="2295" width="11.42578125" style="265"/>
    <col min="2296" max="2296" width="3.42578125" style="265" customWidth="1"/>
    <col min="2297" max="2297" width="14.85546875" style="265" customWidth="1"/>
    <col min="2298" max="2298" width="15.42578125" style="265" customWidth="1"/>
    <col min="2299" max="2299" width="10.85546875" style="265" customWidth="1"/>
    <col min="2300" max="2300" width="14.42578125" style="265" customWidth="1"/>
    <col min="2301" max="2303" width="10.85546875" style="265" customWidth="1"/>
    <col min="2304" max="2304" width="14.7109375" style="265" customWidth="1"/>
    <col min="2305" max="2306" width="10.85546875" style="265" customWidth="1"/>
    <col min="2307" max="2307" width="5.7109375" style="265" customWidth="1"/>
    <col min="2308" max="2551" width="11.42578125" style="265"/>
    <col min="2552" max="2552" width="3.42578125" style="265" customWidth="1"/>
    <col min="2553" max="2553" width="14.85546875" style="265" customWidth="1"/>
    <col min="2554" max="2554" width="15.42578125" style="265" customWidth="1"/>
    <col min="2555" max="2555" width="10.85546875" style="265" customWidth="1"/>
    <col min="2556" max="2556" width="14.42578125" style="265" customWidth="1"/>
    <col min="2557" max="2559" width="10.85546875" style="265" customWidth="1"/>
    <col min="2560" max="2560" width="14.7109375" style="265" customWidth="1"/>
    <col min="2561" max="2562" width="10.85546875" style="265" customWidth="1"/>
    <col min="2563" max="2563" width="5.7109375" style="265" customWidth="1"/>
    <col min="2564" max="2807" width="11.42578125" style="265"/>
    <col min="2808" max="2808" width="3.42578125" style="265" customWidth="1"/>
    <col min="2809" max="2809" width="14.85546875" style="265" customWidth="1"/>
    <col min="2810" max="2810" width="15.42578125" style="265" customWidth="1"/>
    <col min="2811" max="2811" width="10.85546875" style="265" customWidth="1"/>
    <col min="2812" max="2812" width="14.42578125" style="265" customWidth="1"/>
    <col min="2813" max="2815" width="10.85546875" style="265" customWidth="1"/>
    <col min="2816" max="2816" width="14.7109375" style="265" customWidth="1"/>
    <col min="2817" max="2818" width="10.85546875" style="265" customWidth="1"/>
    <col min="2819" max="2819" width="5.7109375" style="265" customWidth="1"/>
    <col min="2820" max="3063" width="11.42578125" style="265"/>
    <col min="3064" max="3064" width="3.42578125" style="265" customWidth="1"/>
    <col min="3065" max="3065" width="14.85546875" style="265" customWidth="1"/>
    <col min="3066" max="3066" width="15.42578125" style="265" customWidth="1"/>
    <col min="3067" max="3067" width="10.85546875" style="265" customWidth="1"/>
    <col min="3068" max="3068" width="14.42578125" style="265" customWidth="1"/>
    <col min="3069" max="3071" width="10.85546875" style="265" customWidth="1"/>
    <col min="3072" max="3072" width="14.7109375" style="265" customWidth="1"/>
    <col min="3073" max="3074" width="10.85546875" style="265" customWidth="1"/>
    <col min="3075" max="3075" width="5.7109375" style="265" customWidth="1"/>
    <col min="3076" max="3319" width="11.42578125" style="265"/>
    <col min="3320" max="3320" width="3.42578125" style="265" customWidth="1"/>
    <col min="3321" max="3321" width="14.85546875" style="265" customWidth="1"/>
    <col min="3322" max="3322" width="15.42578125" style="265" customWidth="1"/>
    <col min="3323" max="3323" width="10.85546875" style="265" customWidth="1"/>
    <col min="3324" max="3324" width="14.42578125" style="265" customWidth="1"/>
    <col min="3325" max="3327" width="10.85546875" style="265" customWidth="1"/>
    <col min="3328" max="3328" width="14.7109375" style="265" customWidth="1"/>
    <col min="3329" max="3330" width="10.85546875" style="265" customWidth="1"/>
    <col min="3331" max="3331" width="5.7109375" style="265" customWidth="1"/>
    <col min="3332" max="3575" width="11.42578125" style="265"/>
    <col min="3576" max="3576" width="3.42578125" style="265" customWidth="1"/>
    <col min="3577" max="3577" width="14.85546875" style="265" customWidth="1"/>
    <col min="3578" max="3578" width="15.42578125" style="265" customWidth="1"/>
    <col min="3579" max="3579" width="10.85546875" style="265" customWidth="1"/>
    <col min="3580" max="3580" width="14.42578125" style="265" customWidth="1"/>
    <col min="3581" max="3583" width="10.85546875" style="265" customWidth="1"/>
    <col min="3584" max="3584" width="14.7109375" style="265" customWidth="1"/>
    <col min="3585" max="3586" width="10.85546875" style="265" customWidth="1"/>
    <col min="3587" max="3587" width="5.7109375" style="265" customWidth="1"/>
    <col min="3588" max="3831" width="11.42578125" style="265"/>
    <col min="3832" max="3832" width="3.42578125" style="265" customWidth="1"/>
    <col min="3833" max="3833" width="14.85546875" style="265" customWidth="1"/>
    <col min="3834" max="3834" width="15.42578125" style="265" customWidth="1"/>
    <col min="3835" max="3835" width="10.85546875" style="265" customWidth="1"/>
    <col min="3836" max="3836" width="14.42578125" style="265" customWidth="1"/>
    <col min="3837" max="3839" width="10.85546875" style="265" customWidth="1"/>
    <col min="3840" max="3840" width="14.7109375" style="265" customWidth="1"/>
    <col min="3841" max="3842" width="10.85546875" style="265" customWidth="1"/>
    <col min="3843" max="3843" width="5.7109375" style="265" customWidth="1"/>
    <col min="3844" max="4087" width="11.42578125" style="265"/>
    <col min="4088" max="4088" width="3.42578125" style="265" customWidth="1"/>
    <col min="4089" max="4089" width="14.85546875" style="265" customWidth="1"/>
    <col min="4090" max="4090" width="15.42578125" style="265" customWidth="1"/>
    <col min="4091" max="4091" width="10.85546875" style="265" customWidth="1"/>
    <col min="4092" max="4092" width="14.42578125" style="265" customWidth="1"/>
    <col min="4093" max="4095" width="10.85546875" style="265" customWidth="1"/>
    <col min="4096" max="4096" width="14.7109375" style="265" customWidth="1"/>
    <col min="4097" max="4098" width="10.85546875" style="265" customWidth="1"/>
    <col min="4099" max="4099" width="5.7109375" style="265" customWidth="1"/>
    <col min="4100" max="4343" width="11.42578125" style="265"/>
    <col min="4344" max="4344" width="3.42578125" style="265" customWidth="1"/>
    <col min="4345" max="4345" width="14.85546875" style="265" customWidth="1"/>
    <col min="4346" max="4346" width="15.42578125" style="265" customWidth="1"/>
    <col min="4347" max="4347" width="10.85546875" style="265" customWidth="1"/>
    <col min="4348" max="4348" width="14.42578125" style="265" customWidth="1"/>
    <col min="4349" max="4351" width="10.85546875" style="265" customWidth="1"/>
    <col min="4352" max="4352" width="14.7109375" style="265" customWidth="1"/>
    <col min="4353" max="4354" width="10.85546875" style="265" customWidth="1"/>
    <col min="4355" max="4355" width="5.7109375" style="265" customWidth="1"/>
    <col min="4356" max="4599" width="11.42578125" style="265"/>
    <col min="4600" max="4600" width="3.42578125" style="265" customWidth="1"/>
    <col min="4601" max="4601" width="14.85546875" style="265" customWidth="1"/>
    <col min="4602" max="4602" width="15.42578125" style="265" customWidth="1"/>
    <col min="4603" max="4603" width="10.85546875" style="265" customWidth="1"/>
    <col min="4604" max="4604" width="14.42578125" style="265" customWidth="1"/>
    <col min="4605" max="4607" width="10.85546875" style="265" customWidth="1"/>
    <col min="4608" max="4608" width="14.7109375" style="265" customWidth="1"/>
    <col min="4609" max="4610" width="10.85546875" style="265" customWidth="1"/>
    <col min="4611" max="4611" width="5.7109375" style="265" customWidth="1"/>
    <col min="4612" max="4855" width="11.42578125" style="265"/>
    <col min="4856" max="4856" width="3.42578125" style="265" customWidth="1"/>
    <col min="4857" max="4857" width="14.85546875" style="265" customWidth="1"/>
    <col min="4858" max="4858" width="15.42578125" style="265" customWidth="1"/>
    <col min="4859" max="4859" width="10.85546875" style="265" customWidth="1"/>
    <col min="4860" max="4860" width="14.42578125" style="265" customWidth="1"/>
    <col min="4861" max="4863" width="10.85546875" style="265" customWidth="1"/>
    <col min="4864" max="4864" width="14.7109375" style="265" customWidth="1"/>
    <col min="4865" max="4866" width="10.85546875" style="265" customWidth="1"/>
    <col min="4867" max="4867" width="5.7109375" style="265" customWidth="1"/>
    <col min="4868" max="5111" width="11.42578125" style="265"/>
    <col min="5112" max="5112" width="3.42578125" style="265" customWidth="1"/>
    <col min="5113" max="5113" width="14.85546875" style="265" customWidth="1"/>
    <col min="5114" max="5114" width="15.42578125" style="265" customWidth="1"/>
    <col min="5115" max="5115" width="10.85546875" style="265" customWidth="1"/>
    <col min="5116" max="5116" width="14.42578125" style="265" customWidth="1"/>
    <col min="5117" max="5119" width="10.85546875" style="265" customWidth="1"/>
    <col min="5120" max="5120" width="14.7109375" style="265" customWidth="1"/>
    <col min="5121" max="5122" width="10.85546875" style="265" customWidth="1"/>
    <col min="5123" max="5123" width="5.7109375" style="265" customWidth="1"/>
    <col min="5124" max="5367" width="11.42578125" style="265"/>
    <col min="5368" max="5368" width="3.42578125" style="265" customWidth="1"/>
    <col min="5369" max="5369" width="14.85546875" style="265" customWidth="1"/>
    <col min="5370" max="5370" width="15.42578125" style="265" customWidth="1"/>
    <col min="5371" max="5371" width="10.85546875" style="265" customWidth="1"/>
    <col min="5372" max="5372" width="14.42578125" style="265" customWidth="1"/>
    <col min="5373" max="5375" width="10.85546875" style="265" customWidth="1"/>
    <col min="5376" max="5376" width="14.7109375" style="265" customWidth="1"/>
    <col min="5377" max="5378" width="10.85546875" style="265" customWidth="1"/>
    <col min="5379" max="5379" width="5.7109375" style="265" customWidth="1"/>
    <col min="5380" max="5623" width="11.42578125" style="265"/>
    <col min="5624" max="5624" width="3.42578125" style="265" customWidth="1"/>
    <col min="5625" max="5625" width="14.85546875" style="265" customWidth="1"/>
    <col min="5626" max="5626" width="15.42578125" style="265" customWidth="1"/>
    <col min="5627" max="5627" width="10.85546875" style="265" customWidth="1"/>
    <col min="5628" max="5628" width="14.42578125" style="265" customWidth="1"/>
    <col min="5629" max="5631" width="10.85546875" style="265" customWidth="1"/>
    <col min="5632" max="5632" width="14.7109375" style="265" customWidth="1"/>
    <col min="5633" max="5634" width="10.85546875" style="265" customWidth="1"/>
    <col min="5635" max="5635" width="5.7109375" style="265" customWidth="1"/>
    <col min="5636" max="5879" width="11.42578125" style="265"/>
    <col min="5880" max="5880" width="3.42578125" style="265" customWidth="1"/>
    <col min="5881" max="5881" width="14.85546875" style="265" customWidth="1"/>
    <col min="5882" max="5882" width="15.42578125" style="265" customWidth="1"/>
    <col min="5883" max="5883" width="10.85546875" style="265" customWidth="1"/>
    <col min="5884" max="5884" width="14.42578125" style="265" customWidth="1"/>
    <col min="5885" max="5887" width="10.85546875" style="265" customWidth="1"/>
    <col min="5888" max="5888" width="14.7109375" style="265" customWidth="1"/>
    <col min="5889" max="5890" width="10.85546875" style="265" customWidth="1"/>
    <col min="5891" max="5891" width="5.7109375" style="265" customWidth="1"/>
    <col min="5892" max="6135" width="11.42578125" style="265"/>
    <col min="6136" max="6136" width="3.42578125" style="265" customWidth="1"/>
    <col min="6137" max="6137" width="14.85546875" style="265" customWidth="1"/>
    <col min="6138" max="6138" width="15.42578125" style="265" customWidth="1"/>
    <col min="6139" max="6139" width="10.85546875" style="265" customWidth="1"/>
    <col min="6140" max="6140" width="14.42578125" style="265" customWidth="1"/>
    <col min="6141" max="6143" width="10.85546875" style="265" customWidth="1"/>
    <col min="6144" max="6144" width="14.7109375" style="265" customWidth="1"/>
    <col min="6145" max="6146" width="10.85546875" style="265" customWidth="1"/>
    <col min="6147" max="6147" width="5.7109375" style="265" customWidth="1"/>
    <col min="6148" max="6391" width="11.42578125" style="265"/>
    <col min="6392" max="6392" width="3.42578125" style="265" customWidth="1"/>
    <col min="6393" max="6393" width="14.85546875" style="265" customWidth="1"/>
    <col min="6394" max="6394" width="15.42578125" style="265" customWidth="1"/>
    <col min="6395" max="6395" width="10.85546875" style="265" customWidth="1"/>
    <col min="6396" max="6396" width="14.42578125" style="265" customWidth="1"/>
    <col min="6397" max="6399" width="10.85546875" style="265" customWidth="1"/>
    <col min="6400" max="6400" width="14.7109375" style="265" customWidth="1"/>
    <col min="6401" max="6402" width="10.85546875" style="265" customWidth="1"/>
    <col min="6403" max="6403" width="5.7109375" style="265" customWidth="1"/>
    <col min="6404" max="6647" width="11.42578125" style="265"/>
    <col min="6648" max="6648" width="3.42578125" style="265" customWidth="1"/>
    <col min="6649" max="6649" width="14.85546875" style="265" customWidth="1"/>
    <col min="6650" max="6650" width="15.42578125" style="265" customWidth="1"/>
    <col min="6651" max="6651" width="10.85546875" style="265" customWidth="1"/>
    <col min="6652" max="6652" width="14.42578125" style="265" customWidth="1"/>
    <col min="6653" max="6655" width="10.85546875" style="265" customWidth="1"/>
    <col min="6656" max="6656" width="14.7109375" style="265" customWidth="1"/>
    <col min="6657" max="6658" width="10.85546875" style="265" customWidth="1"/>
    <col min="6659" max="6659" width="5.7109375" style="265" customWidth="1"/>
    <col min="6660" max="6903" width="11.42578125" style="265"/>
    <col min="6904" max="6904" width="3.42578125" style="265" customWidth="1"/>
    <col min="6905" max="6905" width="14.85546875" style="265" customWidth="1"/>
    <col min="6906" max="6906" width="15.42578125" style="265" customWidth="1"/>
    <col min="6907" max="6907" width="10.85546875" style="265" customWidth="1"/>
    <col min="6908" max="6908" width="14.42578125" style="265" customWidth="1"/>
    <col min="6909" max="6911" width="10.85546875" style="265" customWidth="1"/>
    <col min="6912" max="6912" width="14.7109375" style="265" customWidth="1"/>
    <col min="6913" max="6914" width="10.85546875" style="265" customWidth="1"/>
    <col min="6915" max="6915" width="5.7109375" style="265" customWidth="1"/>
    <col min="6916" max="7159" width="11.42578125" style="265"/>
    <col min="7160" max="7160" width="3.42578125" style="265" customWidth="1"/>
    <col min="7161" max="7161" width="14.85546875" style="265" customWidth="1"/>
    <col min="7162" max="7162" width="15.42578125" style="265" customWidth="1"/>
    <col min="7163" max="7163" width="10.85546875" style="265" customWidth="1"/>
    <col min="7164" max="7164" width="14.42578125" style="265" customWidth="1"/>
    <col min="7165" max="7167" width="10.85546875" style="265" customWidth="1"/>
    <col min="7168" max="7168" width="14.7109375" style="265" customWidth="1"/>
    <col min="7169" max="7170" width="10.85546875" style="265" customWidth="1"/>
    <col min="7171" max="7171" width="5.7109375" style="265" customWidth="1"/>
    <col min="7172" max="7415" width="11.42578125" style="265"/>
    <col min="7416" max="7416" width="3.42578125" style="265" customWidth="1"/>
    <col min="7417" max="7417" width="14.85546875" style="265" customWidth="1"/>
    <col min="7418" max="7418" width="15.42578125" style="265" customWidth="1"/>
    <col min="7419" max="7419" width="10.85546875" style="265" customWidth="1"/>
    <col min="7420" max="7420" width="14.42578125" style="265" customWidth="1"/>
    <col min="7421" max="7423" width="10.85546875" style="265" customWidth="1"/>
    <col min="7424" max="7424" width="14.7109375" style="265" customWidth="1"/>
    <col min="7425" max="7426" width="10.85546875" style="265" customWidth="1"/>
    <col min="7427" max="7427" width="5.7109375" style="265" customWidth="1"/>
    <col min="7428" max="7671" width="11.42578125" style="265"/>
    <col min="7672" max="7672" width="3.42578125" style="265" customWidth="1"/>
    <col min="7673" max="7673" width="14.85546875" style="265" customWidth="1"/>
    <col min="7674" max="7674" width="15.42578125" style="265" customWidth="1"/>
    <col min="7675" max="7675" width="10.85546875" style="265" customWidth="1"/>
    <col min="7676" max="7676" width="14.42578125" style="265" customWidth="1"/>
    <col min="7677" max="7679" width="10.85546875" style="265" customWidth="1"/>
    <col min="7680" max="7680" width="14.7109375" style="265" customWidth="1"/>
    <col min="7681" max="7682" width="10.85546875" style="265" customWidth="1"/>
    <col min="7683" max="7683" width="5.7109375" style="265" customWidth="1"/>
    <col min="7684" max="7927" width="11.42578125" style="265"/>
    <col min="7928" max="7928" width="3.42578125" style="265" customWidth="1"/>
    <col min="7929" max="7929" width="14.85546875" style="265" customWidth="1"/>
    <col min="7930" max="7930" width="15.42578125" style="265" customWidth="1"/>
    <col min="7931" max="7931" width="10.85546875" style="265" customWidth="1"/>
    <col min="7932" max="7932" width="14.42578125" style="265" customWidth="1"/>
    <col min="7933" max="7935" width="10.85546875" style="265" customWidth="1"/>
    <col min="7936" max="7936" width="14.7109375" style="265" customWidth="1"/>
    <col min="7937" max="7938" width="10.85546875" style="265" customWidth="1"/>
    <col min="7939" max="7939" width="5.7109375" style="265" customWidth="1"/>
    <col min="7940" max="8183" width="11.42578125" style="265"/>
    <col min="8184" max="8184" width="3.42578125" style="265" customWidth="1"/>
    <col min="8185" max="8185" width="14.85546875" style="265" customWidth="1"/>
    <col min="8186" max="8186" width="15.42578125" style="265" customWidth="1"/>
    <col min="8187" max="8187" width="10.85546875" style="265" customWidth="1"/>
    <col min="8188" max="8188" width="14.42578125" style="265" customWidth="1"/>
    <col min="8189" max="8191" width="10.85546875" style="265" customWidth="1"/>
    <col min="8192" max="8192" width="14.7109375" style="265" customWidth="1"/>
    <col min="8193" max="8194" width="10.85546875" style="265" customWidth="1"/>
    <col min="8195" max="8195" width="5.7109375" style="265" customWidth="1"/>
    <col min="8196" max="8439" width="11.42578125" style="265"/>
    <col min="8440" max="8440" width="3.42578125" style="265" customWidth="1"/>
    <col min="8441" max="8441" width="14.85546875" style="265" customWidth="1"/>
    <col min="8442" max="8442" width="15.42578125" style="265" customWidth="1"/>
    <col min="8443" max="8443" width="10.85546875" style="265" customWidth="1"/>
    <col min="8444" max="8444" width="14.42578125" style="265" customWidth="1"/>
    <col min="8445" max="8447" width="10.85546875" style="265" customWidth="1"/>
    <col min="8448" max="8448" width="14.7109375" style="265" customWidth="1"/>
    <col min="8449" max="8450" width="10.85546875" style="265" customWidth="1"/>
    <col min="8451" max="8451" width="5.7109375" style="265" customWidth="1"/>
    <col min="8452" max="8695" width="11.42578125" style="265"/>
    <col min="8696" max="8696" width="3.42578125" style="265" customWidth="1"/>
    <col min="8697" max="8697" width="14.85546875" style="265" customWidth="1"/>
    <col min="8698" max="8698" width="15.42578125" style="265" customWidth="1"/>
    <col min="8699" max="8699" width="10.85546875" style="265" customWidth="1"/>
    <col min="8700" max="8700" width="14.42578125" style="265" customWidth="1"/>
    <col min="8701" max="8703" width="10.85546875" style="265" customWidth="1"/>
    <col min="8704" max="8704" width="14.7109375" style="265" customWidth="1"/>
    <col min="8705" max="8706" width="10.85546875" style="265" customWidth="1"/>
    <col min="8707" max="8707" width="5.7109375" style="265" customWidth="1"/>
    <col min="8708" max="8951" width="11.42578125" style="265"/>
    <col min="8952" max="8952" width="3.42578125" style="265" customWidth="1"/>
    <col min="8953" max="8953" width="14.85546875" style="265" customWidth="1"/>
    <col min="8954" max="8954" width="15.42578125" style="265" customWidth="1"/>
    <col min="8955" max="8955" width="10.85546875" style="265" customWidth="1"/>
    <col min="8956" max="8956" width="14.42578125" style="265" customWidth="1"/>
    <col min="8957" max="8959" width="10.85546875" style="265" customWidth="1"/>
    <col min="8960" max="8960" width="14.7109375" style="265" customWidth="1"/>
    <col min="8961" max="8962" width="10.85546875" style="265" customWidth="1"/>
    <col min="8963" max="8963" width="5.7109375" style="265" customWidth="1"/>
    <col min="8964" max="9207" width="11.42578125" style="265"/>
    <col min="9208" max="9208" width="3.42578125" style="265" customWidth="1"/>
    <col min="9209" max="9209" width="14.85546875" style="265" customWidth="1"/>
    <col min="9210" max="9210" width="15.42578125" style="265" customWidth="1"/>
    <col min="9211" max="9211" width="10.85546875" style="265" customWidth="1"/>
    <col min="9212" max="9212" width="14.42578125" style="265" customWidth="1"/>
    <col min="9213" max="9215" width="10.85546875" style="265" customWidth="1"/>
    <col min="9216" max="9216" width="14.7109375" style="265" customWidth="1"/>
    <col min="9217" max="9218" width="10.85546875" style="265" customWidth="1"/>
    <col min="9219" max="9219" width="5.7109375" style="265" customWidth="1"/>
    <col min="9220" max="9463" width="11.42578125" style="265"/>
    <col min="9464" max="9464" width="3.42578125" style="265" customWidth="1"/>
    <col min="9465" max="9465" width="14.85546875" style="265" customWidth="1"/>
    <col min="9466" max="9466" width="15.42578125" style="265" customWidth="1"/>
    <col min="9467" max="9467" width="10.85546875" style="265" customWidth="1"/>
    <col min="9468" max="9468" width="14.42578125" style="265" customWidth="1"/>
    <col min="9469" max="9471" width="10.85546875" style="265" customWidth="1"/>
    <col min="9472" max="9472" width="14.7109375" style="265" customWidth="1"/>
    <col min="9473" max="9474" width="10.85546875" style="265" customWidth="1"/>
    <col min="9475" max="9475" width="5.7109375" style="265" customWidth="1"/>
    <col min="9476" max="9719" width="11.42578125" style="265"/>
    <col min="9720" max="9720" width="3.42578125" style="265" customWidth="1"/>
    <col min="9721" max="9721" width="14.85546875" style="265" customWidth="1"/>
    <col min="9722" max="9722" width="15.42578125" style="265" customWidth="1"/>
    <col min="9723" max="9723" width="10.85546875" style="265" customWidth="1"/>
    <col min="9724" max="9724" width="14.42578125" style="265" customWidth="1"/>
    <col min="9725" max="9727" width="10.85546875" style="265" customWidth="1"/>
    <col min="9728" max="9728" width="14.7109375" style="265" customWidth="1"/>
    <col min="9729" max="9730" width="10.85546875" style="265" customWidth="1"/>
    <col min="9731" max="9731" width="5.7109375" style="265" customWidth="1"/>
    <col min="9732" max="9975" width="11.42578125" style="265"/>
    <col min="9976" max="9976" width="3.42578125" style="265" customWidth="1"/>
    <col min="9977" max="9977" width="14.85546875" style="265" customWidth="1"/>
    <col min="9978" max="9978" width="15.42578125" style="265" customWidth="1"/>
    <col min="9979" max="9979" width="10.85546875" style="265" customWidth="1"/>
    <col min="9980" max="9980" width="14.42578125" style="265" customWidth="1"/>
    <col min="9981" max="9983" width="10.85546875" style="265" customWidth="1"/>
    <col min="9984" max="9984" width="14.7109375" style="265" customWidth="1"/>
    <col min="9985" max="9986" width="10.85546875" style="265" customWidth="1"/>
    <col min="9987" max="9987" width="5.7109375" style="265" customWidth="1"/>
    <col min="9988" max="10231" width="11.42578125" style="265"/>
    <col min="10232" max="10232" width="3.42578125" style="265" customWidth="1"/>
    <col min="10233" max="10233" width="14.85546875" style="265" customWidth="1"/>
    <col min="10234" max="10234" width="15.42578125" style="265" customWidth="1"/>
    <col min="10235" max="10235" width="10.85546875" style="265" customWidth="1"/>
    <col min="10236" max="10236" width="14.42578125" style="265" customWidth="1"/>
    <col min="10237" max="10239" width="10.85546875" style="265" customWidth="1"/>
    <col min="10240" max="10240" width="14.7109375" style="265" customWidth="1"/>
    <col min="10241" max="10242" width="10.85546875" style="265" customWidth="1"/>
    <col min="10243" max="10243" width="5.7109375" style="265" customWidth="1"/>
    <col min="10244" max="10487" width="11.42578125" style="265"/>
    <col min="10488" max="10488" width="3.42578125" style="265" customWidth="1"/>
    <col min="10489" max="10489" width="14.85546875" style="265" customWidth="1"/>
    <col min="10490" max="10490" width="15.42578125" style="265" customWidth="1"/>
    <col min="10491" max="10491" width="10.85546875" style="265" customWidth="1"/>
    <col min="10492" max="10492" width="14.42578125" style="265" customWidth="1"/>
    <col min="10493" max="10495" width="10.85546875" style="265" customWidth="1"/>
    <col min="10496" max="10496" width="14.7109375" style="265" customWidth="1"/>
    <col min="10497" max="10498" width="10.85546875" style="265" customWidth="1"/>
    <col min="10499" max="10499" width="5.7109375" style="265" customWidth="1"/>
    <col min="10500" max="10743" width="11.42578125" style="265"/>
    <col min="10744" max="10744" width="3.42578125" style="265" customWidth="1"/>
    <col min="10745" max="10745" width="14.85546875" style="265" customWidth="1"/>
    <col min="10746" max="10746" width="15.42578125" style="265" customWidth="1"/>
    <col min="10747" max="10747" width="10.85546875" style="265" customWidth="1"/>
    <col min="10748" max="10748" width="14.42578125" style="265" customWidth="1"/>
    <col min="10749" max="10751" width="10.85546875" style="265" customWidth="1"/>
    <col min="10752" max="10752" width="14.7109375" style="265" customWidth="1"/>
    <col min="10753" max="10754" width="10.85546875" style="265" customWidth="1"/>
    <col min="10755" max="10755" width="5.7109375" style="265" customWidth="1"/>
    <col min="10756" max="10999" width="11.42578125" style="265"/>
    <col min="11000" max="11000" width="3.42578125" style="265" customWidth="1"/>
    <col min="11001" max="11001" width="14.85546875" style="265" customWidth="1"/>
    <col min="11002" max="11002" width="15.42578125" style="265" customWidth="1"/>
    <col min="11003" max="11003" width="10.85546875" style="265" customWidth="1"/>
    <col min="11004" max="11004" width="14.42578125" style="265" customWidth="1"/>
    <col min="11005" max="11007" width="10.85546875" style="265" customWidth="1"/>
    <col min="11008" max="11008" width="14.7109375" style="265" customWidth="1"/>
    <col min="11009" max="11010" width="10.85546875" style="265" customWidth="1"/>
    <col min="11011" max="11011" width="5.7109375" style="265" customWidth="1"/>
    <col min="11012" max="11255" width="11.42578125" style="265"/>
    <col min="11256" max="11256" width="3.42578125" style="265" customWidth="1"/>
    <col min="11257" max="11257" width="14.85546875" style="265" customWidth="1"/>
    <col min="11258" max="11258" width="15.42578125" style="265" customWidth="1"/>
    <col min="11259" max="11259" width="10.85546875" style="265" customWidth="1"/>
    <col min="11260" max="11260" width="14.42578125" style="265" customWidth="1"/>
    <col min="11261" max="11263" width="10.85546875" style="265" customWidth="1"/>
    <col min="11264" max="11264" width="14.7109375" style="265" customWidth="1"/>
    <col min="11265" max="11266" width="10.85546875" style="265" customWidth="1"/>
    <col min="11267" max="11267" width="5.7109375" style="265" customWidth="1"/>
    <col min="11268" max="11511" width="11.42578125" style="265"/>
    <col min="11512" max="11512" width="3.42578125" style="265" customWidth="1"/>
    <col min="11513" max="11513" width="14.85546875" style="265" customWidth="1"/>
    <col min="11514" max="11514" width="15.42578125" style="265" customWidth="1"/>
    <col min="11515" max="11515" width="10.85546875" style="265" customWidth="1"/>
    <col min="11516" max="11516" width="14.42578125" style="265" customWidth="1"/>
    <col min="11517" max="11519" width="10.85546875" style="265" customWidth="1"/>
    <col min="11520" max="11520" width="14.7109375" style="265" customWidth="1"/>
    <col min="11521" max="11522" width="10.85546875" style="265" customWidth="1"/>
    <col min="11523" max="11523" width="5.7109375" style="265" customWidth="1"/>
    <col min="11524" max="11767" width="11.42578125" style="265"/>
    <col min="11768" max="11768" width="3.42578125" style="265" customWidth="1"/>
    <col min="11769" max="11769" width="14.85546875" style="265" customWidth="1"/>
    <col min="11770" max="11770" width="15.42578125" style="265" customWidth="1"/>
    <col min="11771" max="11771" width="10.85546875" style="265" customWidth="1"/>
    <col min="11772" max="11772" width="14.42578125" style="265" customWidth="1"/>
    <col min="11773" max="11775" width="10.85546875" style="265" customWidth="1"/>
    <col min="11776" max="11776" width="14.7109375" style="265" customWidth="1"/>
    <col min="11777" max="11778" width="10.85546875" style="265" customWidth="1"/>
    <col min="11779" max="11779" width="5.7109375" style="265" customWidth="1"/>
    <col min="11780" max="12023" width="11.42578125" style="265"/>
    <col min="12024" max="12024" width="3.42578125" style="265" customWidth="1"/>
    <col min="12025" max="12025" width="14.85546875" style="265" customWidth="1"/>
    <col min="12026" max="12026" width="15.42578125" style="265" customWidth="1"/>
    <col min="12027" max="12027" width="10.85546875" style="265" customWidth="1"/>
    <col min="12028" max="12028" width="14.42578125" style="265" customWidth="1"/>
    <col min="12029" max="12031" width="10.85546875" style="265" customWidth="1"/>
    <col min="12032" max="12032" width="14.7109375" style="265" customWidth="1"/>
    <col min="12033" max="12034" width="10.85546875" style="265" customWidth="1"/>
    <col min="12035" max="12035" width="5.7109375" style="265" customWidth="1"/>
    <col min="12036" max="12279" width="11.42578125" style="265"/>
    <col min="12280" max="12280" width="3.42578125" style="265" customWidth="1"/>
    <col min="12281" max="12281" width="14.85546875" style="265" customWidth="1"/>
    <col min="12282" max="12282" width="15.42578125" style="265" customWidth="1"/>
    <col min="12283" max="12283" width="10.85546875" style="265" customWidth="1"/>
    <col min="12284" max="12284" width="14.42578125" style="265" customWidth="1"/>
    <col min="12285" max="12287" width="10.85546875" style="265" customWidth="1"/>
    <col min="12288" max="12288" width="14.7109375" style="265" customWidth="1"/>
    <col min="12289" max="12290" width="10.85546875" style="265" customWidth="1"/>
    <col min="12291" max="12291" width="5.7109375" style="265" customWidth="1"/>
    <col min="12292" max="12535" width="11.42578125" style="265"/>
    <col min="12536" max="12536" width="3.42578125" style="265" customWidth="1"/>
    <col min="12537" max="12537" width="14.85546875" style="265" customWidth="1"/>
    <col min="12538" max="12538" width="15.42578125" style="265" customWidth="1"/>
    <col min="12539" max="12539" width="10.85546875" style="265" customWidth="1"/>
    <col min="12540" max="12540" width="14.42578125" style="265" customWidth="1"/>
    <col min="12541" max="12543" width="10.85546875" style="265" customWidth="1"/>
    <col min="12544" max="12544" width="14.7109375" style="265" customWidth="1"/>
    <col min="12545" max="12546" width="10.85546875" style="265" customWidth="1"/>
    <col min="12547" max="12547" width="5.7109375" style="265" customWidth="1"/>
    <col min="12548" max="12791" width="11.42578125" style="265"/>
    <col min="12792" max="12792" width="3.42578125" style="265" customWidth="1"/>
    <col min="12793" max="12793" width="14.85546875" style="265" customWidth="1"/>
    <col min="12794" max="12794" width="15.42578125" style="265" customWidth="1"/>
    <col min="12795" max="12795" width="10.85546875" style="265" customWidth="1"/>
    <col min="12796" max="12796" width="14.42578125" style="265" customWidth="1"/>
    <col min="12797" max="12799" width="10.85546875" style="265" customWidth="1"/>
    <col min="12800" max="12800" width="14.7109375" style="265" customWidth="1"/>
    <col min="12801" max="12802" width="10.85546875" style="265" customWidth="1"/>
    <col min="12803" max="12803" width="5.7109375" style="265" customWidth="1"/>
    <col min="12804" max="13047" width="11.42578125" style="265"/>
    <col min="13048" max="13048" width="3.42578125" style="265" customWidth="1"/>
    <col min="13049" max="13049" width="14.85546875" style="265" customWidth="1"/>
    <col min="13050" max="13050" width="15.42578125" style="265" customWidth="1"/>
    <col min="13051" max="13051" width="10.85546875" style="265" customWidth="1"/>
    <col min="13052" max="13052" width="14.42578125" style="265" customWidth="1"/>
    <col min="13053" max="13055" width="10.85546875" style="265" customWidth="1"/>
    <col min="13056" max="13056" width="14.7109375" style="265" customWidth="1"/>
    <col min="13057" max="13058" width="10.85546875" style="265" customWidth="1"/>
    <col min="13059" max="13059" width="5.7109375" style="265" customWidth="1"/>
    <col min="13060" max="13303" width="11.42578125" style="265"/>
    <col min="13304" max="13304" width="3.42578125" style="265" customWidth="1"/>
    <col min="13305" max="13305" width="14.85546875" style="265" customWidth="1"/>
    <col min="13306" max="13306" width="15.42578125" style="265" customWidth="1"/>
    <col min="13307" max="13307" width="10.85546875" style="265" customWidth="1"/>
    <col min="13308" max="13308" width="14.42578125" style="265" customWidth="1"/>
    <col min="13309" max="13311" width="10.85546875" style="265" customWidth="1"/>
    <col min="13312" max="13312" width="14.7109375" style="265" customWidth="1"/>
    <col min="13313" max="13314" width="10.85546875" style="265" customWidth="1"/>
    <col min="13315" max="13315" width="5.7109375" style="265" customWidth="1"/>
    <col min="13316" max="13559" width="11.42578125" style="265"/>
    <col min="13560" max="13560" width="3.42578125" style="265" customWidth="1"/>
    <col min="13561" max="13561" width="14.85546875" style="265" customWidth="1"/>
    <col min="13562" max="13562" width="15.42578125" style="265" customWidth="1"/>
    <col min="13563" max="13563" width="10.85546875" style="265" customWidth="1"/>
    <col min="13564" max="13564" width="14.42578125" style="265" customWidth="1"/>
    <col min="13565" max="13567" width="10.85546875" style="265" customWidth="1"/>
    <col min="13568" max="13568" width="14.7109375" style="265" customWidth="1"/>
    <col min="13569" max="13570" width="10.85546875" style="265" customWidth="1"/>
    <col min="13571" max="13571" width="5.7109375" style="265" customWidth="1"/>
    <col min="13572" max="13815" width="11.42578125" style="265"/>
    <col min="13816" max="13816" width="3.42578125" style="265" customWidth="1"/>
    <col min="13817" max="13817" width="14.85546875" style="265" customWidth="1"/>
    <col min="13818" max="13818" width="15.42578125" style="265" customWidth="1"/>
    <col min="13819" max="13819" width="10.85546875" style="265" customWidth="1"/>
    <col min="13820" max="13820" width="14.42578125" style="265" customWidth="1"/>
    <col min="13821" max="13823" width="10.85546875" style="265" customWidth="1"/>
    <col min="13824" max="13824" width="14.7109375" style="265" customWidth="1"/>
    <col min="13825" max="13826" width="10.85546875" style="265" customWidth="1"/>
    <col min="13827" max="13827" width="5.7109375" style="265" customWidth="1"/>
    <col min="13828" max="14071" width="11.42578125" style="265"/>
    <col min="14072" max="14072" width="3.42578125" style="265" customWidth="1"/>
    <col min="14073" max="14073" width="14.85546875" style="265" customWidth="1"/>
    <col min="14074" max="14074" width="15.42578125" style="265" customWidth="1"/>
    <col min="14075" max="14075" width="10.85546875" style="265" customWidth="1"/>
    <col min="14076" max="14076" width="14.42578125" style="265" customWidth="1"/>
    <col min="14077" max="14079" width="10.85546875" style="265" customWidth="1"/>
    <col min="14080" max="14080" width="14.7109375" style="265" customWidth="1"/>
    <col min="14081" max="14082" width="10.85546875" style="265" customWidth="1"/>
    <col min="14083" max="14083" width="5.7109375" style="265" customWidth="1"/>
    <col min="14084" max="14327" width="11.42578125" style="265"/>
    <col min="14328" max="14328" width="3.42578125" style="265" customWidth="1"/>
    <col min="14329" max="14329" width="14.85546875" style="265" customWidth="1"/>
    <col min="14330" max="14330" width="15.42578125" style="265" customWidth="1"/>
    <col min="14331" max="14331" width="10.85546875" style="265" customWidth="1"/>
    <col min="14332" max="14332" width="14.42578125" style="265" customWidth="1"/>
    <col min="14333" max="14335" width="10.85546875" style="265" customWidth="1"/>
    <col min="14336" max="14336" width="14.7109375" style="265" customWidth="1"/>
    <col min="14337" max="14338" width="10.85546875" style="265" customWidth="1"/>
    <col min="14339" max="14339" width="5.7109375" style="265" customWidth="1"/>
    <col min="14340" max="14583" width="11.42578125" style="265"/>
    <col min="14584" max="14584" width="3.42578125" style="265" customWidth="1"/>
    <col min="14585" max="14585" width="14.85546875" style="265" customWidth="1"/>
    <col min="14586" max="14586" width="15.42578125" style="265" customWidth="1"/>
    <col min="14587" max="14587" width="10.85546875" style="265" customWidth="1"/>
    <col min="14588" max="14588" width="14.42578125" style="265" customWidth="1"/>
    <col min="14589" max="14591" width="10.85546875" style="265" customWidth="1"/>
    <col min="14592" max="14592" width="14.7109375" style="265" customWidth="1"/>
    <col min="14593" max="14594" width="10.85546875" style="265" customWidth="1"/>
    <col min="14595" max="14595" width="5.7109375" style="265" customWidth="1"/>
    <col min="14596" max="14839" width="11.42578125" style="265"/>
    <col min="14840" max="14840" width="3.42578125" style="265" customWidth="1"/>
    <col min="14841" max="14841" width="14.85546875" style="265" customWidth="1"/>
    <col min="14842" max="14842" width="15.42578125" style="265" customWidth="1"/>
    <col min="14843" max="14843" width="10.85546875" style="265" customWidth="1"/>
    <col min="14844" max="14844" width="14.42578125" style="265" customWidth="1"/>
    <col min="14845" max="14847" width="10.85546875" style="265" customWidth="1"/>
    <col min="14848" max="14848" width="14.7109375" style="265" customWidth="1"/>
    <col min="14849" max="14850" width="10.85546875" style="265" customWidth="1"/>
    <col min="14851" max="14851" width="5.7109375" style="265" customWidth="1"/>
    <col min="14852" max="15095" width="11.42578125" style="265"/>
    <col min="15096" max="15096" width="3.42578125" style="265" customWidth="1"/>
    <col min="15097" max="15097" width="14.85546875" style="265" customWidth="1"/>
    <col min="15098" max="15098" width="15.42578125" style="265" customWidth="1"/>
    <col min="15099" max="15099" width="10.85546875" style="265" customWidth="1"/>
    <col min="15100" max="15100" width="14.42578125" style="265" customWidth="1"/>
    <col min="15101" max="15103" width="10.85546875" style="265" customWidth="1"/>
    <col min="15104" max="15104" width="14.7109375" style="265" customWidth="1"/>
    <col min="15105" max="15106" width="10.85546875" style="265" customWidth="1"/>
    <col min="15107" max="15107" width="5.7109375" style="265" customWidth="1"/>
    <col min="15108" max="15351" width="11.42578125" style="265"/>
    <col min="15352" max="15352" width="3.42578125" style="265" customWidth="1"/>
    <col min="15353" max="15353" width="14.85546875" style="265" customWidth="1"/>
    <col min="15354" max="15354" width="15.42578125" style="265" customWidth="1"/>
    <col min="15355" max="15355" width="10.85546875" style="265" customWidth="1"/>
    <col min="15356" max="15356" width="14.42578125" style="265" customWidth="1"/>
    <col min="15357" max="15359" width="10.85546875" style="265" customWidth="1"/>
    <col min="15360" max="15360" width="14.7109375" style="265" customWidth="1"/>
    <col min="15361" max="15362" width="10.85546875" style="265" customWidth="1"/>
    <col min="15363" max="15363" width="5.7109375" style="265" customWidth="1"/>
    <col min="15364" max="15607" width="11.42578125" style="265"/>
    <col min="15608" max="15608" width="3.42578125" style="265" customWidth="1"/>
    <col min="15609" max="15609" width="14.85546875" style="265" customWidth="1"/>
    <col min="15610" max="15610" width="15.42578125" style="265" customWidth="1"/>
    <col min="15611" max="15611" width="10.85546875" style="265" customWidth="1"/>
    <col min="15612" max="15612" width="14.42578125" style="265" customWidth="1"/>
    <col min="15613" max="15615" width="10.85546875" style="265" customWidth="1"/>
    <col min="15616" max="15616" width="14.7109375" style="265" customWidth="1"/>
    <col min="15617" max="15618" width="10.85546875" style="265" customWidth="1"/>
    <col min="15619" max="15619" width="5.7109375" style="265" customWidth="1"/>
    <col min="15620" max="15863" width="11.42578125" style="265"/>
    <col min="15864" max="15864" width="3.42578125" style="265" customWidth="1"/>
    <col min="15865" max="15865" width="14.85546875" style="265" customWidth="1"/>
    <col min="15866" max="15866" width="15.42578125" style="265" customWidth="1"/>
    <col min="15867" max="15867" width="10.85546875" style="265" customWidth="1"/>
    <col min="15868" max="15868" width="14.42578125" style="265" customWidth="1"/>
    <col min="15869" max="15871" width="10.85546875" style="265" customWidth="1"/>
    <col min="15872" max="15872" width="14.7109375" style="265" customWidth="1"/>
    <col min="15873" max="15874" width="10.85546875" style="265" customWidth="1"/>
    <col min="15875" max="15875" width="5.7109375" style="265" customWidth="1"/>
    <col min="15876" max="16119" width="11.42578125" style="265"/>
    <col min="16120" max="16120" width="3.42578125" style="265" customWidth="1"/>
    <col min="16121" max="16121" width="14.85546875" style="265" customWidth="1"/>
    <col min="16122" max="16122" width="15.42578125" style="265" customWidth="1"/>
    <col min="16123" max="16123" width="10.85546875" style="265" customWidth="1"/>
    <col min="16124" max="16124" width="14.42578125" style="265" customWidth="1"/>
    <col min="16125" max="16127" width="10.85546875" style="265" customWidth="1"/>
    <col min="16128" max="16128" width="14.7109375" style="265" customWidth="1"/>
    <col min="16129" max="16130" width="10.85546875" style="265" customWidth="1"/>
    <col min="16131" max="16131" width="5.7109375" style="265" customWidth="1"/>
    <col min="16132" max="16384" width="11.42578125" style="265"/>
  </cols>
  <sheetData>
    <row r="1" spans="1:12">
      <c r="A1" s="264"/>
      <c r="B1" s="264"/>
      <c r="C1" s="264"/>
      <c r="D1" s="264"/>
      <c r="E1" s="264"/>
      <c r="F1" s="264"/>
      <c r="G1" s="264"/>
      <c r="H1" s="264"/>
      <c r="I1" s="264"/>
      <c r="J1" s="264"/>
      <c r="K1" s="264"/>
      <c r="L1" s="264"/>
    </row>
    <row r="2" spans="1:12" ht="50.1" customHeight="1">
      <c r="A2" s="297" t="s">
        <v>321</v>
      </c>
      <c r="B2" s="298"/>
      <c r="C2" s="298"/>
      <c r="D2" s="298"/>
      <c r="E2" s="298"/>
      <c r="F2" s="298"/>
      <c r="G2" s="298"/>
      <c r="H2" s="298"/>
      <c r="I2" s="298"/>
      <c r="J2" s="298"/>
      <c r="K2" s="298"/>
      <c r="L2" s="298"/>
    </row>
    <row r="3" spans="1:12">
      <c r="A3" s="266" t="s">
        <v>1</v>
      </c>
      <c r="B3" s="266" t="s">
        <v>25</v>
      </c>
      <c r="C3" s="173"/>
      <c r="D3" s="173"/>
      <c r="E3" s="173"/>
      <c r="F3" s="173"/>
      <c r="G3" s="173"/>
      <c r="H3" s="173"/>
      <c r="I3" s="173"/>
      <c r="J3" s="173"/>
      <c r="K3" s="173"/>
      <c r="L3" s="173"/>
    </row>
    <row r="4" spans="1:12" ht="6" customHeight="1">
      <c r="A4" s="264"/>
      <c r="B4" s="264"/>
      <c r="C4" s="264"/>
      <c r="D4" s="264"/>
      <c r="E4" s="264"/>
      <c r="F4" s="264"/>
      <c r="G4" s="264"/>
      <c r="H4" s="264"/>
      <c r="I4" s="264"/>
      <c r="J4" s="264"/>
      <c r="K4" s="264"/>
      <c r="L4" s="264"/>
    </row>
    <row r="5" spans="1:12" ht="20.100000000000001" customHeight="1">
      <c r="A5" s="186"/>
      <c r="B5" s="186" t="s">
        <v>28</v>
      </c>
      <c r="C5" s="286" t="s">
        <v>119</v>
      </c>
      <c r="D5" s="287"/>
      <c r="E5" s="287"/>
      <c r="F5" s="287"/>
      <c r="G5" s="189" t="s">
        <v>97</v>
      </c>
      <c r="H5" s="113"/>
      <c r="I5" s="189" t="s">
        <v>26</v>
      </c>
      <c r="J5" s="289"/>
      <c r="K5" s="290"/>
      <c r="L5" s="290"/>
    </row>
    <row r="6" spans="1:12" ht="20.100000000000001" customHeight="1">
      <c r="A6" s="186"/>
      <c r="B6" s="186" t="s">
        <v>27</v>
      </c>
      <c r="C6" s="288"/>
      <c r="D6" s="288"/>
      <c r="E6" s="288"/>
      <c r="F6" s="288"/>
      <c r="G6" s="189" t="s">
        <v>229</v>
      </c>
      <c r="H6" s="115"/>
      <c r="I6" s="186"/>
      <c r="J6" s="186"/>
      <c r="K6" s="186"/>
      <c r="L6" s="186"/>
    </row>
    <row r="7" spans="1:12" ht="20.100000000000001" customHeight="1">
      <c r="A7" s="186"/>
      <c r="B7" s="186" t="s">
        <v>29</v>
      </c>
      <c r="C7" s="287"/>
      <c r="D7" s="287"/>
      <c r="E7" s="287"/>
      <c r="F7" s="287"/>
      <c r="G7" s="189" t="s">
        <v>100</v>
      </c>
      <c r="H7" s="291"/>
      <c r="I7" s="292"/>
      <c r="J7" s="292"/>
      <c r="K7" s="292"/>
      <c r="L7" s="292"/>
    </row>
    <row r="8" spans="1:12" ht="12.95" customHeight="1">
      <c r="A8" s="264"/>
      <c r="B8" s="264"/>
      <c r="C8" s="264"/>
      <c r="D8" s="264"/>
      <c r="E8" s="264"/>
      <c r="F8" s="264"/>
      <c r="G8" s="264"/>
      <c r="H8" s="264"/>
      <c r="I8" s="264"/>
      <c r="J8" s="264"/>
      <c r="K8" s="264"/>
      <c r="L8" s="264"/>
    </row>
    <row r="9" spans="1:12">
      <c r="A9" s="266" t="s">
        <v>2</v>
      </c>
      <c r="B9" s="266" t="s">
        <v>3</v>
      </c>
      <c r="C9" s="173"/>
      <c r="D9" s="173"/>
      <c r="E9" s="173"/>
      <c r="F9" s="173"/>
      <c r="G9" s="173"/>
      <c r="H9" s="173"/>
      <c r="I9" s="173"/>
      <c r="J9" s="173"/>
      <c r="K9" s="173"/>
      <c r="L9" s="173"/>
    </row>
    <row r="10" spans="1:12" ht="9.9499999999999993" customHeight="1"/>
    <row r="11" spans="1:12" ht="15.75" customHeight="1">
      <c r="B11" s="293" t="s">
        <v>249</v>
      </c>
      <c r="C11" s="294"/>
      <c r="D11" s="294"/>
      <c r="E11" s="295"/>
    </row>
    <row r="12" spans="1:12" ht="15.75" customHeight="1">
      <c r="B12" s="267" t="s">
        <v>324</v>
      </c>
      <c r="C12" s="265" t="s">
        <v>325</v>
      </c>
      <c r="D12" s="39">
        <v>12</v>
      </c>
      <c r="E12" s="268" t="s">
        <v>144</v>
      </c>
    </row>
    <row r="13" spans="1:12" ht="15.75" customHeight="1">
      <c r="B13" s="267" t="s">
        <v>326</v>
      </c>
      <c r="C13" s="265" t="s">
        <v>327</v>
      </c>
      <c r="D13" s="279">
        <v>200000</v>
      </c>
      <c r="E13" s="268" t="s">
        <v>175</v>
      </c>
    </row>
    <row r="14" spans="1:12" ht="15.75" customHeight="1">
      <c r="B14" s="267" t="s">
        <v>334</v>
      </c>
      <c r="C14" s="265" t="s">
        <v>335</v>
      </c>
      <c r="D14" s="39">
        <v>0.3</v>
      </c>
      <c r="E14" s="268" t="s">
        <v>144</v>
      </c>
    </row>
    <row r="15" spans="1:12" ht="19.5" customHeight="1">
      <c r="B15" s="269" t="s">
        <v>323</v>
      </c>
      <c r="C15" s="270" t="s">
        <v>322</v>
      </c>
      <c r="D15" s="263">
        <v>10</v>
      </c>
      <c r="E15" s="271" t="s">
        <v>330</v>
      </c>
      <c r="G15" s="272"/>
      <c r="H15" s="273"/>
    </row>
    <row r="16" spans="1:12" ht="15.75" customHeight="1">
      <c r="D16" s="134"/>
      <c r="H16" s="274"/>
    </row>
    <row r="17" spans="1:14" ht="12.75" customHeight="1">
      <c r="B17" s="293" t="s">
        <v>312</v>
      </c>
      <c r="C17" s="294"/>
      <c r="D17" s="294"/>
      <c r="E17" s="295"/>
    </row>
    <row r="18" spans="1:14" ht="15.75" customHeight="1">
      <c r="B18" s="267" t="s">
        <v>324</v>
      </c>
      <c r="C18" s="265" t="s">
        <v>329</v>
      </c>
      <c r="D18" s="39">
        <v>12</v>
      </c>
      <c r="E18" s="268" t="s">
        <v>144</v>
      </c>
    </row>
    <row r="19" spans="1:14" ht="15.75" customHeight="1">
      <c r="B19" s="267" t="s">
        <v>326</v>
      </c>
      <c r="C19" s="265" t="s">
        <v>328</v>
      </c>
      <c r="D19" s="39">
        <v>60000</v>
      </c>
      <c r="E19" s="268" t="s">
        <v>175</v>
      </c>
      <c r="F19" s="262"/>
      <c r="G19" s="262"/>
      <c r="H19" s="262"/>
    </row>
    <row r="20" spans="1:14" ht="15.75" customHeight="1">
      <c r="B20" s="267" t="s">
        <v>334</v>
      </c>
      <c r="C20" s="265" t="s">
        <v>336</v>
      </c>
      <c r="D20" s="39">
        <v>0.3</v>
      </c>
      <c r="E20" s="268" t="s">
        <v>144</v>
      </c>
      <c r="F20" s="262"/>
      <c r="G20" s="262"/>
      <c r="H20" s="275"/>
    </row>
    <row r="21" spans="1:14" ht="15.75" customHeight="1">
      <c r="B21" s="267" t="s">
        <v>331</v>
      </c>
      <c r="C21" s="276" t="s">
        <v>332</v>
      </c>
      <c r="D21" s="277">
        <f>SQRT((D13/D19)*(D18/D12)*(D14/D20))</f>
        <v>1.8257418583505538</v>
      </c>
      <c r="E21" s="268" t="s">
        <v>190</v>
      </c>
    </row>
    <row r="22" spans="1:14" ht="15.75" customHeight="1">
      <c r="B22" s="269" t="s">
        <v>323</v>
      </c>
      <c r="C22" s="270" t="s">
        <v>333</v>
      </c>
      <c r="D22" s="278">
        <f>+D15*SQRT((D13/D19)*(D18/D12)*(D14/D20))</f>
        <v>18.257418583505537</v>
      </c>
      <c r="E22" s="271" t="s">
        <v>330</v>
      </c>
    </row>
    <row r="23" spans="1:14" ht="15.75" customHeight="1"/>
    <row r="24" spans="1:14" ht="15.75" customHeight="1"/>
    <row r="25" spans="1:14" ht="24.75" customHeight="1">
      <c r="A25" s="296" t="s">
        <v>339</v>
      </c>
      <c r="B25" s="296"/>
      <c r="C25" s="296"/>
      <c r="D25" s="296"/>
      <c r="E25" s="296"/>
      <c r="F25" s="296"/>
      <c r="G25" s="296"/>
      <c r="H25" s="296"/>
      <c r="I25" s="296"/>
      <c r="J25" s="296"/>
      <c r="K25" s="296"/>
      <c r="L25" s="296"/>
    </row>
    <row r="26" spans="1:14" ht="24.75" customHeight="1">
      <c r="A26" s="296"/>
      <c r="B26" s="296"/>
      <c r="C26" s="296"/>
      <c r="D26" s="296"/>
      <c r="E26" s="296"/>
      <c r="F26" s="296"/>
      <c r="G26" s="296"/>
      <c r="H26" s="296"/>
      <c r="I26" s="296"/>
      <c r="J26" s="296"/>
      <c r="K26" s="296"/>
      <c r="L26" s="296"/>
    </row>
    <row r="27" spans="1:14" ht="24.75" customHeight="1">
      <c r="A27" s="296"/>
      <c r="B27" s="296"/>
      <c r="C27" s="296"/>
      <c r="D27" s="296"/>
      <c r="E27" s="296"/>
      <c r="F27" s="296"/>
      <c r="G27" s="296"/>
      <c r="H27" s="296"/>
      <c r="I27" s="296"/>
      <c r="J27" s="296"/>
      <c r="K27" s="296"/>
      <c r="L27" s="296"/>
      <c r="N27" s="275"/>
    </row>
    <row r="28" spans="1:14" ht="24.75" customHeight="1">
      <c r="A28" s="296"/>
      <c r="B28" s="296"/>
      <c r="C28" s="296"/>
      <c r="D28" s="296"/>
      <c r="E28" s="296"/>
      <c r="F28" s="296"/>
      <c r="G28" s="296"/>
      <c r="H28" s="296"/>
      <c r="I28" s="296"/>
      <c r="J28" s="296"/>
      <c r="K28" s="296"/>
      <c r="L28" s="296"/>
      <c r="N28" s="274"/>
    </row>
    <row r="29" spans="1:14" ht="24.75" customHeight="1">
      <c r="A29" s="296"/>
      <c r="B29" s="296"/>
      <c r="C29" s="296"/>
      <c r="D29" s="296"/>
      <c r="E29" s="296"/>
      <c r="F29" s="296"/>
      <c r="G29" s="296"/>
      <c r="H29" s="296"/>
      <c r="I29" s="296"/>
      <c r="J29" s="296"/>
      <c r="K29" s="296"/>
      <c r="L29" s="296"/>
      <c r="N29" s="275"/>
    </row>
    <row r="30" spans="1:14" ht="24.75" customHeight="1">
      <c r="A30" s="296"/>
      <c r="B30" s="296"/>
      <c r="C30" s="296"/>
      <c r="D30" s="296"/>
      <c r="E30" s="296"/>
      <c r="F30" s="296"/>
      <c r="G30" s="296"/>
      <c r="H30" s="296"/>
      <c r="I30" s="296"/>
      <c r="J30" s="296"/>
      <c r="K30" s="296"/>
      <c r="L30" s="296"/>
    </row>
    <row r="31" spans="1:14" ht="24.75" customHeight="1">
      <c r="A31" s="296"/>
      <c r="B31" s="296"/>
      <c r="C31" s="296"/>
      <c r="D31" s="296"/>
      <c r="E31" s="296"/>
      <c r="F31" s="296"/>
      <c r="G31" s="296"/>
      <c r="H31" s="296"/>
      <c r="I31" s="296"/>
      <c r="J31" s="296"/>
      <c r="K31" s="296"/>
      <c r="L31" s="296"/>
    </row>
    <row r="32" spans="1:14" ht="24.75" customHeight="1">
      <c r="A32" s="296"/>
      <c r="B32" s="296"/>
      <c r="C32" s="296"/>
      <c r="D32" s="296"/>
      <c r="E32" s="296"/>
      <c r="F32" s="296"/>
      <c r="G32" s="296"/>
      <c r="H32" s="296"/>
      <c r="I32" s="296"/>
      <c r="J32" s="296"/>
      <c r="K32" s="296"/>
      <c r="L32" s="296"/>
    </row>
    <row r="33" ht="15" customHeight="1"/>
    <row r="40" hidden="1"/>
    <row r="41" hidden="1"/>
    <row r="42" hidden="1"/>
    <row r="43" hidden="1"/>
    <row r="44" hidden="1"/>
    <row r="45" hidden="1"/>
    <row r="46" hidden="1"/>
    <row r="47" hidden="1"/>
    <row r="48" hidden="1"/>
    <row r="49" s="265" customFormat="1" hidden="1"/>
    <row r="50" s="265" customFormat="1" hidden="1"/>
    <row r="51" s="265" customFormat="1" hidden="1"/>
  </sheetData>
  <sheetProtection algorithmName="SHA-512" hashValue="si43t9In4D35nBKmac4EW27Hf1VZwc/moSGLSOdfXbHkYOTOuvbw8cA72vLSZuUVR3h3LHCEGcKcqvXH/vaxSQ==" saltValue="xf+1rB/tPlMreYbKD0PuZg==" spinCount="100000" sheet="1" objects="1" scenarios="1" selectLockedCells="1"/>
  <mergeCells count="9">
    <mergeCell ref="B11:E11"/>
    <mergeCell ref="B17:E17"/>
    <mergeCell ref="A25:L32"/>
    <mergeCell ref="A2:L2"/>
    <mergeCell ref="C5:F5"/>
    <mergeCell ref="J5:L5"/>
    <mergeCell ref="C6:F6"/>
    <mergeCell ref="C7:F7"/>
    <mergeCell ref="H7:L7"/>
  </mergeCells>
  <dataValidations count="7">
    <dataValidation type="list" allowBlank="1" showInputMessage="1" showErrorMessage="1" sqref="IQ15 WVC983056 SM15 ACI15 AME15 AWA15 BFW15 BPS15 BZO15 CJK15 CTG15 DDC15 DMY15 DWU15 EGQ15 EQM15 FAI15 FKE15 FUA15 GDW15 GNS15 GXO15 HHK15 HRG15 IBC15 IKY15 IUU15 JEQ15 JOM15 JYI15 KIE15 KSA15 LBW15 LLS15 LVO15 MFK15 MPG15 MZC15 NIY15 NSU15 OCQ15 OMM15 OWI15 PGE15 PQA15 PZW15 QJS15 QTO15 RDK15 RNG15 RXC15 SGY15 SQU15 TAQ15 TKM15 TUI15 UEE15 UOA15 UXW15 VHS15 VRO15 WBK15 WLG15 WVC15 D65538 IQ65552 SM65552 ACI65552 AME65552 AWA65552 BFW65552 BPS65552 BZO65552 CJK65552 CTG65552 DDC65552 DMY65552 DWU65552 EGQ65552 EQM65552 FAI65552 FKE65552 FUA65552 GDW65552 GNS65552 GXO65552 HHK65552 HRG65552 IBC65552 IKY65552 IUU65552 JEQ65552 JOM65552 JYI65552 KIE65552 KSA65552 LBW65552 LLS65552 LVO65552 MFK65552 MPG65552 MZC65552 NIY65552 NSU65552 OCQ65552 OMM65552 OWI65552 PGE65552 PQA65552 PZW65552 QJS65552 QTO65552 RDK65552 RNG65552 RXC65552 SGY65552 SQU65552 TAQ65552 TKM65552 TUI65552 UEE65552 UOA65552 UXW65552 VHS65552 VRO65552 WBK65552 WLG65552 WVC65552 D131074 IQ131088 SM131088 ACI131088 AME131088 AWA131088 BFW131088 BPS131088 BZO131088 CJK131088 CTG131088 DDC131088 DMY131088 DWU131088 EGQ131088 EQM131088 FAI131088 FKE131088 FUA131088 GDW131088 GNS131088 GXO131088 HHK131088 HRG131088 IBC131088 IKY131088 IUU131088 JEQ131088 JOM131088 JYI131088 KIE131088 KSA131088 LBW131088 LLS131088 LVO131088 MFK131088 MPG131088 MZC131088 NIY131088 NSU131088 OCQ131088 OMM131088 OWI131088 PGE131088 PQA131088 PZW131088 QJS131088 QTO131088 RDK131088 RNG131088 RXC131088 SGY131088 SQU131088 TAQ131088 TKM131088 TUI131088 UEE131088 UOA131088 UXW131088 VHS131088 VRO131088 WBK131088 WLG131088 WVC131088 D196610 IQ196624 SM196624 ACI196624 AME196624 AWA196624 BFW196624 BPS196624 BZO196624 CJK196624 CTG196624 DDC196624 DMY196624 DWU196624 EGQ196624 EQM196624 FAI196624 FKE196624 FUA196624 GDW196624 GNS196624 GXO196624 HHK196624 HRG196624 IBC196624 IKY196624 IUU196624 JEQ196624 JOM196624 JYI196624 KIE196624 KSA196624 LBW196624 LLS196624 LVO196624 MFK196624 MPG196624 MZC196624 NIY196624 NSU196624 OCQ196624 OMM196624 OWI196624 PGE196624 PQA196624 PZW196624 QJS196624 QTO196624 RDK196624 RNG196624 RXC196624 SGY196624 SQU196624 TAQ196624 TKM196624 TUI196624 UEE196624 UOA196624 UXW196624 VHS196624 VRO196624 WBK196624 WLG196624 WVC196624 D262146 IQ262160 SM262160 ACI262160 AME262160 AWA262160 BFW262160 BPS262160 BZO262160 CJK262160 CTG262160 DDC262160 DMY262160 DWU262160 EGQ262160 EQM262160 FAI262160 FKE262160 FUA262160 GDW262160 GNS262160 GXO262160 HHK262160 HRG262160 IBC262160 IKY262160 IUU262160 JEQ262160 JOM262160 JYI262160 KIE262160 KSA262160 LBW262160 LLS262160 LVO262160 MFK262160 MPG262160 MZC262160 NIY262160 NSU262160 OCQ262160 OMM262160 OWI262160 PGE262160 PQA262160 PZW262160 QJS262160 QTO262160 RDK262160 RNG262160 RXC262160 SGY262160 SQU262160 TAQ262160 TKM262160 TUI262160 UEE262160 UOA262160 UXW262160 VHS262160 VRO262160 WBK262160 WLG262160 WVC262160 D327682 IQ327696 SM327696 ACI327696 AME327696 AWA327696 BFW327696 BPS327696 BZO327696 CJK327696 CTG327696 DDC327696 DMY327696 DWU327696 EGQ327696 EQM327696 FAI327696 FKE327696 FUA327696 GDW327696 GNS327696 GXO327696 HHK327696 HRG327696 IBC327696 IKY327696 IUU327696 JEQ327696 JOM327696 JYI327696 KIE327696 KSA327696 LBW327696 LLS327696 LVO327696 MFK327696 MPG327696 MZC327696 NIY327696 NSU327696 OCQ327696 OMM327696 OWI327696 PGE327696 PQA327696 PZW327696 QJS327696 QTO327696 RDK327696 RNG327696 RXC327696 SGY327696 SQU327696 TAQ327696 TKM327696 TUI327696 UEE327696 UOA327696 UXW327696 VHS327696 VRO327696 WBK327696 WLG327696 WVC327696 D393218 IQ393232 SM393232 ACI393232 AME393232 AWA393232 BFW393232 BPS393232 BZO393232 CJK393232 CTG393232 DDC393232 DMY393232 DWU393232 EGQ393232 EQM393232 FAI393232 FKE393232 FUA393232 GDW393232 GNS393232 GXO393232 HHK393232 HRG393232 IBC393232 IKY393232 IUU393232 JEQ393232 JOM393232 JYI393232 KIE393232 KSA393232 LBW393232 LLS393232 LVO393232 MFK393232 MPG393232 MZC393232 NIY393232 NSU393232 OCQ393232 OMM393232 OWI393232 PGE393232 PQA393232 PZW393232 QJS393232 QTO393232 RDK393232 RNG393232 RXC393232 SGY393232 SQU393232 TAQ393232 TKM393232 TUI393232 UEE393232 UOA393232 UXW393232 VHS393232 VRO393232 WBK393232 WLG393232 WVC393232 D458754 IQ458768 SM458768 ACI458768 AME458768 AWA458768 BFW458768 BPS458768 BZO458768 CJK458768 CTG458768 DDC458768 DMY458768 DWU458768 EGQ458768 EQM458768 FAI458768 FKE458768 FUA458768 GDW458768 GNS458768 GXO458768 HHK458768 HRG458768 IBC458768 IKY458768 IUU458768 JEQ458768 JOM458768 JYI458768 KIE458768 KSA458768 LBW458768 LLS458768 LVO458768 MFK458768 MPG458768 MZC458768 NIY458768 NSU458768 OCQ458768 OMM458768 OWI458768 PGE458768 PQA458768 PZW458768 QJS458768 QTO458768 RDK458768 RNG458768 RXC458768 SGY458768 SQU458768 TAQ458768 TKM458768 TUI458768 UEE458768 UOA458768 UXW458768 VHS458768 VRO458768 WBK458768 WLG458768 WVC458768 D524290 IQ524304 SM524304 ACI524304 AME524304 AWA524304 BFW524304 BPS524304 BZO524304 CJK524304 CTG524304 DDC524304 DMY524304 DWU524304 EGQ524304 EQM524304 FAI524304 FKE524304 FUA524304 GDW524304 GNS524304 GXO524304 HHK524304 HRG524304 IBC524304 IKY524304 IUU524304 JEQ524304 JOM524304 JYI524304 KIE524304 KSA524304 LBW524304 LLS524304 LVO524304 MFK524304 MPG524304 MZC524304 NIY524304 NSU524304 OCQ524304 OMM524304 OWI524304 PGE524304 PQA524304 PZW524304 QJS524304 QTO524304 RDK524304 RNG524304 RXC524304 SGY524304 SQU524304 TAQ524304 TKM524304 TUI524304 UEE524304 UOA524304 UXW524304 VHS524304 VRO524304 WBK524304 WLG524304 WVC524304 D589826 IQ589840 SM589840 ACI589840 AME589840 AWA589840 BFW589840 BPS589840 BZO589840 CJK589840 CTG589840 DDC589840 DMY589840 DWU589840 EGQ589840 EQM589840 FAI589840 FKE589840 FUA589840 GDW589840 GNS589840 GXO589840 HHK589840 HRG589840 IBC589840 IKY589840 IUU589840 JEQ589840 JOM589840 JYI589840 KIE589840 KSA589840 LBW589840 LLS589840 LVO589840 MFK589840 MPG589840 MZC589840 NIY589840 NSU589840 OCQ589840 OMM589840 OWI589840 PGE589840 PQA589840 PZW589840 QJS589840 QTO589840 RDK589840 RNG589840 RXC589840 SGY589840 SQU589840 TAQ589840 TKM589840 TUI589840 UEE589840 UOA589840 UXW589840 VHS589840 VRO589840 WBK589840 WLG589840 WVC589840 D655362 IQ655376 SM655376 ACI655376 AME655376 AWA655376 BFW655376 BPS655376 BZO655376 CJK655376 CTG655376 DDC655376 DMY655376 DWU655376 EGQ655376 EQM655376 FAI655376 FKE655376 FUA655376 GDW655376 GNS655376 GXO655376 HHK655376 HRG655376 IBC655376 IKY655376 IUU655376 JEQ655376 JOM655376 JYI655376 KIE655376 KSA655376 LBW655376 LLS655376 LVO655376 MFK655376 MPG655376 MZC655376 NIY655376 NSU655376 OCQ655376 OMM655376 OWI655376 PGE655376 PQA655376 PZW655376 QJS655376 QTO655376 RDK655376 RNG655376 RXC655376 SGY655376 SQU655376 TAQ655376 TKM655376 TUI655376 UEE655376 UOA655376 UXW655376 VHS655376 VRO655376 WBK655376 WLG655376 WVC655376 D720898 IQ720912 SM720912 ACI720912 AME720912 AWA720912 BFW720912 BPS720912 BZO720912 CJK720912 CTG720912 DDC720912 DMY720912 DWU720912 EGQ720912 EQM720912 FAI720912 FKE720912 FUA720912 GDW720912 GNS720912 GXO720912 HHK720912 HRG720912 IBC720912 IKY720912 IUU720912 JEQ720912 JOM720912 JYI720912 KIE720912 KSA720912 LBW720912 LLS720912 LVO720912 MFK720912 MPG720912 MZC720912 NIY720912 NSU720912 OCQ720912 OMM720912 OWI720912 PGE720912 PQA720912 PZW720912 QJS720912 QTO720912 RDK720912 RNG720912 RXC720912 SGY720912 SQU720912 TAQ720912 TKM720912 TUI720912 UEE720912 UOA720912 UXW720912 VHS720912 VRO720912 WBK720912 WLG720912 WVC720912 D786434 IQ786448 SM786448 ACI786448 AME786448 AWA786448 BFW786448 BPS786448 BZO786448 CJK786448 CTG786448 DDC786448 DMY786448 DWU786448 EGQ786448 EQM786448 FAI786448 FKE786448 FUA786448 GDW786448 GNS786448 GXO786448 HHK786448 HRG786448 IBC786448 IKY786448 IUU786448 JEQ786448 JOM786448 JYI786448 KIE786448 KSA786448 LBW786448 LLS786448 LVO786448 MFK786448 MPG786448 MZC786448 NIY786448 NSU786448 OCQ786448 OMM786448 OWI786448 PGE786448 PQA786448 PZW786448 QJS786448 QTO786448 RDK786448 RNG786448 RXC786448 SGY786448 SQU786448 TAQ786448 TKM786448 TUI786448 UEE786448 UOA786448 UXW786448 VHS786448 VRO786448 WBK786448 WLG786448 WVC786448 D851970 IQ851984 SM851984 ACI851984 AME851984 AWA851984 BFW851984 BPS851984 BZO851984 CJK851984 CTG851984 DDC851984 DMY851984 DWU851984 EGQ851984 EQM851984 FAI851984 FKE851984 FUA851984 GDW851984 GNS851984 GXO851984 HHK851984 HRG851984 IBC851984 IKY851984 IUU851984 JEQ851984 JOM851984 JYI851984 KIE851984 KSA851984 LBW851984 LLS851984 LVO851984 MFK851984 MPG851984 MZC851984 NIY851984 NSU851984 OCQ851984 OMM851984 OWI851984 PGE851984 PQA851984 PZW851984 QJS851984 QTO851984 RDK851984 RNG851984 RXC851984 SGY851984 SQU851984 TAQ851984 TKM851984 TUI851984 UEE851984 UOA851984 UXW851984 VHS851984 VRO851984 WBK851984 WLG851984 WVC851984 D917506 IQ917520 SM917520 ACI917520 AME917520 AWA917520 BFW917520 BPS917520 BZO917520 CJK917520 CTG917520 DDC917520 DMY917520 DWU917520 EGQ917520 EQM917520 FAI917520 FKE917520 FUA917520 GDW917520 GNS917520 GXO917520 HHK917520 HRG917520 IBC917520 IKY917520 IUU917520 JEQ917520 JOM917520 JYI917520 KIE917520 KSA917520 LBW917520 LLS917520 LVO917520 MFK917520 MPG917520 MZC917520 NIY917520 NSU917520 OCQ917520 OMM917520 OWI917520 PGE917520 PQA917520 PZW917520 QJS917520 QTO917520 RDK917520 RNG917520 RXC917520 SGY917520 SQU917520 TAQ917520 TKM917520 TUI917520 UEE917520 UOA917520 UXW917520 VHS917520 VRO917520 WBK917520 WLG917520 WVC917520 D983042 IQ983056 SM983056 ACI983056 AME983056 AWA983056 BFW983056 BPS983056 BZO983056 CJK983056 CTG983056 DDC983056 DMY983056 DWU983056 EGQ983056 EQM983056 FAI983056 FKE983056 FUA983056 GDW983056 GNS983056 GXO983056 HHK983056 HRG983056 IBC983056 IKY983056 IUU983056 JEQ983056 JOM983056 JYI983056 KIE983056 KSA983056 LBW983056 LLS983056 LVO983056 MFK983056 MPG983056 MZC983056 NIY983056 NSU983056 OCQ983056 OMM983056 OWI983056 PGE983056 PQA983056 PZW983056 QJS983056 QTO983056 RDK983056 RNG983056 RXC983056 SGY983056 SQU983056 TAQ983056 TKM983056 TUI983056 UEE983056 UOA983056 UXW983056 VHS983056 VRO983056 WBK983056 WLG983056" xr:uid="{D66531E4-A64B-4F12-8B3A-7F4314CE000A}">
      <formula1>#REF!</formula1>
    </dataValidation>
    <dataValidation type="list" allowBlank="1" showInputMessage="1" showErrorMessage="1" sqref="IQ18 WVC983059 WLG983059 WBK983059 VRO983059 VHS983059 UXW983059 UOA983059 UEE983059 TUI983059 TKM983059 TAQ983059 SQU983059 SGY983059 RXC983059 RNG983059 RDK983059 QTO983059 QJS983059 PZW983059 PQA983059 PGE983059 OWI983059 OMM983059 OCQ983059 NSU983059 NIY983059 MZC983059 MPG983059 MFK983059 LVO983059 LLS983059 LBW983059 KSA983059 KIE983059 JYI983059 JOM983059 JEQ983059 IUU983059 IKY983059 IBC983059 HRG983059 HHK983059 GXO983059 GNS983059 GDW983059 FUA983059 FKE983059 FAI983059 EQM983059 EGQ983059 DWU983059 DMY983059 DDC983059 CTG983059 CJK983059 BZO983059 BPS983059 BFW983059 AWA983059 AME983059 ACI983059 SM983059 IQ983059 D983045 WVC917523 WLG917523 WBK917523 VRO917523 VHS917523 UXW917523 UOA917523 UEE917523 TUI917523 TKM917523 TAQ917523 SQU917523 SGY917523 RXC917523 RNG917523 RDK917523 QTO917523 QJS917523 PZW917523 PQA917523 PGE917523 OWI917523 OMM917523 OCQ917523 NSU917523 NIY917523 MZC917523 MPG917523 MFK917523 LVO917523 LLS917523 LBW917523 KSA917523 KIE917523 JYI917523 JOM917523 JEQ917523 IUU917523 IKY917523 IBC917523 HRG917523 HHK917523 GXO917523 GNS917523 GDW917523 FUA917523 FKE917523 FAI917523 EQM917523 EGQ917523 DWU917523 DMY917523 DDC917523 CTG917523 CJK917523 BZO917523 BPS917523 BFW917523 AWA917523 AME917523 ACI917523 SM917523 IQ917523 D917509 WVC851987 WLG851987 WBK851987 VRO851987 VHS851987 UXW851987 UOA851987 UEE851987 TUI851987 TKM851987 TAQ851987 SQU851987 SGY851987 RXC851987 RNG851987 RDK851987 QTO851987 QJS851987 PZW851987 PQA851987 PGE851987 OWI851987 OMM851987 OCQ851987 NSU851987 NIY851987 MZC851987 MPG851987 MFK851987 LVO851987 LLS851987 LBW851987 KSA851987 KIE851987 JYI851987 JOM851987 JEQ851987 IUU851987 IKY851987 IBC851987 HRG851987 HHK851987 GXO851987 GNS851987 GDW851987 FUA851987 FKE851987 FAI851987 EQM851987 EGQ851987 DWU851987 DMY851987 DDC851987 CTG851987 CJK851987 BZO851987 BPS851987 BFW851987 AWA851987 AME851987 ACI851987 SM851987 IQ851987 D851973 WVC786451 WLG786451 WBK786451 VRO786451 VHS786451 UXW786451 UOA786451 UEE786451 TUI786451 TKM786451 TAQ786451 SQU786451 SGY786451 RXC786451 RNG786451 RDK786451 QTO786451 QJS786451 PZW786451 PQA786451 PGE786451 OWI786451 OMM786451 OCQ786451 NSU786451 NIY786451 MZC786451 MPG786451 MFK786451 LVO786451 LLS786451 LBW786451 KSA786451 KIE786451 JYI786451 JOM786451 JEQ786451 IUU786451 IKY786451 IBC786451 HRG786451 HHK786451 GXO786451 GNS786451 GDW786451 FUA786451 FKE786451 FAI786451 EQM786451 EGQ786451 DWU786451 DMY786451 DDC786451 CTG786451 CJK786451 BZO786451 BPS786451 BFW786451 AWA786451 AME786451 ACI786451 SM786451 IQ786451 D786437 WVC720915 WLG720915 WBK720915 VRO720915 VHS720915 UXW720915 UOA720915 UEE720915 TUI720915 TKM720915 TAQ720915 SQU720915 SGY720915 RXC720915 RNG720915 RDK720915 QTO720915 QJS720915 PZW720915 PQA720915 PGE720915 OWI720915 OMM720915 OCQ720915 NSU720915 NIY720915 MZC720915 MPG720915 MFK720915 LVO720915 LLS720915 LBW720915 KSA720915 KIE720915 JYI720915 JOM720915 JEQ720915 IUU720915 IKY720915 IBC720915 HRG720915 HHK720915 GXO720915 GNS720915 GDW720915 FUA720915 FKE720915 FAI720915 EQM720915 EGQ720915 DWU720915 DMY720915 DDC720915 CTG720915 CJK720915 BZO720915 BPS720915 BFW720915 AWA720915 AME720915 ACI720915 SM720915 IQ720915 D720901 WVC655379 WLG655379 WBK655379 VRO655379 VHS655379 UXW655379 UOA655379 UEE655379 TUI655379 TKM655379 TAQ655379 SQU655379 SGY655379 RXC655379 RNG655379 RDK655379 QTO655379 QJS655379 PZW655379 PQA655379 PGE655379 OWI655379 OMM655379 OCQ655379 NSU655379 NIY655379 MZC655379 MPG655379 MFK655379 LVO655379 LLS655379 LBW655379 KSA655379 KIE655379 JYI655379 JOM655379 JEQ655379 IUU655379 IKY655379 IBC655379 HRG655379 HHK655379 GXO655379 GNS655379 GDW655379 FUA655379 FKE655379 FAI655379 EQM655379 EGQ655379 DWU655379 DMY655379 DDC655379 CTG655379 CJK655379 BZO655379 BPS655379 BFW655379 AWA655379 AME655379 ACI655379 SM655379 IQ655379 D655365 WVC589843 WLG589843 WBK589843 VRO589843 VHS589843 UXW589843 UOA589843 UEE589843 TUI589843 TKM589843 TAQ589843 SQU589843 SGY589843 RXC589843 RNG589843 RDK589843 QTO589843 QJS589843 PZW589843 PQA589843 PGE589843 OWI589843 OMM589843 OCQ589843 NSU589843 NIY589843 MZC589843 MPG589843 MFK589843 LVO589843 LLS589843 LBW589843 KSA589843 KIE589843 JYI589843 JOM589843 JEQ589843 IUU589843 IKY589843 IBC589843 HRG589843 HHK589843 GXO589843 GNS589843 GDW589843 FUA589843 FKE589843 FAI589843 EQM589843 EGQ589843 DWU589843 DMY589843 DDC589843 CTG589843 CJK589843 BZO589843 BPS589843 BFW589843 AWA589843 AME589843 ACI589843 SM589843 IQ589843 D589829 WVC524307 WLG524307 WBK524307 VRO524307 VHS524307 UXW524307 UOA524307 UEE524307 TUI524307 TKM524307 TAQ524307 SQU524307 SGY524307 RXC524307 RNG524307 RDK524307 QTO524307 QJS524307 PZW524307 PQA524307 PGE524307 OWI524307 OMM524307 OCQ524307 NSU524307 NIY524307 MZC524307 MPG524307 MFK524307 LVO524307 LLS524307 LBW524307 KSA524307 KIE524307 JYI524307 JOM524307 JEQ524307 IUU524307 IKY524307 IBC524307 HRG524307 HHK524307 GXO524307 GNS524307 GDW524307 FUA524307 FKE524307 FAI524307 EQM524307 EGQ524307 DWU524307 DMY524307 DDC524307 CTG524307 CJK524307 BZO524307 BPS524307 BFW524307 AWA524307 AME524307 ACI524307 SM524307 IQ524307 D524293 WVC458771 WLG458771 WBK458771 VRO458771 VHS458771 UXW458771 UOA458771 UEE458771 TUI458771 TKM458771 TAQ458771 SQU458771 SGY458771 RXC458771 RNG458771 RDK458771 QTO458771 QJS458771 PZW458771 PQA458771 PGE458771 OWI458771 OMM458771 OCQ458771 NSU458771 NIY458771 MZC458771 MPG458771 MFK458771 LVO458771 LLS458771 LBW458771 KSA458771 KIE458771 JYI458771 JOM458771 JEQ458771 IUU458771 IKY458771 IBC458771 HRG458771 HHK458771 GXO458771 GNS458771 GDW458771 FUA458771 FKE458771 FAI458771 EQM458771 EGQ458771 DWU458771 DMY458771 DDC458771 CTG458771 CJK458771 BZO458771 BPS458771 BFW458771 AWA458771 AME458771 ACI458771 SM458771 IQ458771 D458757 WVC393235 WLG393235 WBK393235 VRO393235 VHS393235 UXW393235 UOA393235 UEE393235 TUI393235 TKM393235 TAQ393235 SQU393235 SGY393235 RXC393235 RNG393235 RDK393235 QTO393235 QJS393235 PZW393235 PQA393235 PGE393235 OWI393235 OMM393235 OCQ393235 NSU393235 NIY393235 MZC393235 MPG393235 MFK393235 LVO393235 LLS393235 LBW393235 KSA393235 KIE393235 JYI393235 JOM393235 JEQ393235 IUU393235 IKY393235 IBC393235 HRG393235 HHK393235 GXO393235 GNS393235 GDW393235 FUA393235 FKE393235 FAI393235 EQM393235 EGQ393235 DWU393235 DMY393235 DDC393235 CTG393235 CJK393235 BZO393235 BPS393235 BFW393235 AWA393235 AME393235 ACI393235 SM393235 IQ393235 D393221 WVC327699 WLG327699 WBK327699 VRO327699 VHS327699 UXW327699 UOA327699 UEE327699 TUI327699 TKM327699 TAQ327699 SQU327699 SGY327699 RXC327699 RNG327699 RDK327699 QTO327699 QJS327699 PZW327699 PQA327699 PGE327699 OWI327699 OMM327699 OCQ327699 NSU327699 NIY327699 MZC327699 MPG327699 MFK327699 LVO327699 LLS327699 LBW327699 KSA327699 KIE327699 JYI327699 JOM327699 JEQ327699 IUU327699 IKY327699 IBC327699 HRG327699 HHK327699 GXO327699 GNS327699 GDW327699 FUA327699 FKE327699 FAI327699 EQM327699 EGQ327699 DWU327699 DMY327699 DDC327699 CTG327699 CJK327699 BZO327699 BPS327699 BFW327699 AWA327699 AME327699 ACI327699 SM327699 IQ327699 D327685 WVC262163 WLG262163 WBK262163 VRO262163 VHS262163 UXW262163 UOA262163 UEE262163 TUI262163 TKM262163 TAQ262163 SQU262163 SGY262163 RXC262163 RNG262163 RDK262163 QTO262163 QJS262163 PZW262163 PQA262163 PGE262163 OWI262163 OMM262163 OCQ262163 NSU262163 NIY262163 MZC262163 MPG262163 MFK262163 LVO262163 LLS262163 LBW262163 KSA262163 KIE262163 JYI262163 JOM262163 JEQ262163 IUU262163 IKY262163 IBC262163 HRG262163 HHK262163 GXO262163 GNS262163 GDW262163 FUA262163 FKE262163 FAI262163 EQM262163 EGQ262163 DWU262163 DMY262163 DDC262163 CTG262163 CJK262163 BZO262163 BPS262163 BFW262163 AWA262163 AME262163 ACI262163 SM262163 IQ262163 D262149 WVC196627 WLG196627 WBK196627 VRO196627 VHS196627 UXW196627 UOA196627 UEE196627 TUI196627 TKM196627 TAQ196627 SQU196627 SGY196627 RXC196627 RNG196627 RDK196627 QTO196627 QJS196627 PZW196627 PQA196627 PGE196627 OWI196627 OMM196627 OCQ196627 NSU196627 NIY196627 MZC196627 MPG196627 MFK196627 LVO196627 LLS196627 LBW196627 KSA196627 KIE196627 JYI196627 JOM196627 JEQ196627 IUU196627 IKY196627 IBC196627 HRG196627 HHK196627 GXO196627 GNS196627 GDW196627 FUA196627 FKE196627 FAI196627 EQM196627 EGQ196627 DWU196627 DMY196627 DDC196627 CTG196627 CJK196627 BZO196627 BPS196627 BFW196627 AWA196627 AME196627 ACI196627 SM196627 IQ196627 D196613 WVC131091 WLG131091 WBK131091 VRO131091 VHS131091 UXW131091 UOA131091 UEE131091 TUI131091 TKM131091 TAQ131091 SQU131091 SGY131091 RXC131091 RNG131091 RDK131091 QTO131091 QJS131091 PZW131091 PQA131091 PGE131091 OWI131091 OMM131091 OCQ131091 NSU131091 NIY131091 MZC131091 MPG131091 MFK131091 LVO131091 LLS131091 LBW131091 KSA131091 KIE131091 JYI131091 JOM131091 JEQ131091 IUU131091 IKY131091 IBC131091 HRG131091 HHK131091 GXO131091 GNS131091 GDW131091 FUA131091 FKE131091 FAI131091 EQM131091 EGQ131091 DWU131091 DMY131091 DDC131091 CTG131091 CJK131091 BZO131091 BPS131091 BFW131091 AWA131091 AME131091 ACI131091 SM131091 IQ131091 D131077 WVC65555 WLG65555 WBK65555 VRO65555 VHS65555 UXW65555 UOA65555 UEE65555 TUI65555 TKM65555 TAQ65555 SQU65555 SGY65555 RXC65555 RNG65555 RDK65555 QTO65555 QJS65555 PZW65555 PQA65555 PGE65555 OWI65555 OMM65555 OCQ65555 NSU65555 NIY65555 MZC65555 MPG65555 MFK65555 LVO65555 LLS65555 LBW65555 KSA65555 KIE65555 JYI65555 JOM65555 JEQ65555 IUU65555 IKY65555 IBC65555 HRG65555 HHK65555 GXO65555 GNS65555 GDW65555 FUA65555 FKE65555 FAI65555 EQM65555 EGQ65555 DWU65555 DMY65555 DDC65555 CTG65555 CJK65555 BZO65555 BPS65555 BFW65555 AWA65555 AME65555 ACI65555 SM65555 IQ65555 D65541 WVC18 WLG18 WBK18 VRO18 VHS18 UXW18 UOA18 UEE18 TUI18 TKM18 TAQ18 SQU18 SGY18 RXC18 RNG18 RDK18 QTO18 QJS18 PZW18 PQA18 PGE18 OWI18 OMM18 OCQ18 NSU18 NIY18 MZC18 MPG18 MFK18 LVO18 LLS18 LBW18 KSA18 KIE18 JYI18 JOM18 JEQ18 IUU18 IKY18 IBC18 HRG18 HHK18 GXO18 GNS18 GDW18 FUA18 FKE18 FAI18 EQM18 EGQ18 DWU18 DMY18 DDC18 CTG18 CJK18 BZO18 BPS18 BFW18 AWA18 AME18 ACI18 SM18" xr:uid="{5B9E6C2E-4767-4F09-A1FD-D4197507F80E}">
      <formula1>#REF!</formula1>
    </dataValidation>
    <dataValidation type="list" allowBlank="1" showInputMessage="1" showErrorMessage="1" sqref="D12" xr:uid="{0D862B52-EC8C-4316-A738-537C39B4434F}">
      <formula1>"6,8,10,12,14,16,20,25,28,32,40"</formula1>
    </dataValidation>
    <dataValidation type="list" allowBlank="1" showInputMessage="1" showErrorMessage="1" sqref="D18" xr:uid="{7E147A7A-0F8B-4758-98ED-1A583F85A9B9}">
      <formula1>"8,12,16,20,25,32"</formula1>
    </dataValidation>
    <dataValidation type="list" allowBlank="1" showInputMessage="1" showErrorMessage="1" sqref="D19" xr:uid="{0EFC89AE-2367-47A7-9F2E-23AD0F9E7541}">
      <formula1>"50000,60000"</formula1>
    </dataValidation>
    <dataValidation type="list" allowBlank="1" showInputMessage="1" showErrorMessage="1" sqref="D14" xr:uid="{6DD16A52-543A-4902-AD22-070D610108BA}">
      <mc:AlternateContent xmlns:x12ac="http://schemas.microsoft.com/office/spreadsheetml/2011/1/ac" xmlns:mc="http://schemas.openxmlformats.org/markup-compatibility/2006">
        <mc:Choice Requires="x12ac">
          <x12ac:list>"0,1","0,2","0,3","0,4"</x12ac:list>
        </mc:Choice>
        <mc:Fallback>
          <formula1>"0,1,0,2,0,3,0,4"</formula1>
        </mc:Fallback>
      </mc:AlternateContent>
    </dataValidation>
    <dataValidation type="list" allowBlank="1" showInputMessage="1" showErrorMessage="1" sqref="D20" xr:uid="{38775264-1EB5-4818-AB56-71B40E4A4559}">
      <mc:AlternateContent xmlns:x12ac="http://schemas.microsoft.com/office/spreadsheetml/2011/1/ac" xmlns:mc="http://schemas.openxmlformats.org/markup-compatibility/2006">
        <mc:Choice Requires="x12ac">
          <x12ac:list>"0,1","0,2","0,3","0,4","0,5","0,6","0,7","0,8","0,9","1,0"</x12ac:list>
        </mc:Choice>
        <mc:Fallback>
          <formula1>"0,1,0,2,0,3,0,4,0,5,0,6,0,7,0,8,0,9,1,0"</formula1>
        </mc:Fallback>
      </mc:AlternateContent>
    </dataValidation>
  </dataValidations>
  <pageMargins left="0.78740157480314965" right="0.78740157480314965" top="0.94488188976377963" bottom="0.78740157480314965" header="0.51181102362204722" footer="0.51181102362204722"/>
  <pageSetup paperSize="9" scale="56" orientation="portrait" horizontalDpi="4294967293" r:id="rId1"/>
  <headerFooter>
    <oddFooter>&amp;L&amp;8&amp;F&amp;C
&amp;R&amp;8Bemessungshilfe Schöck Combar® V 2.2</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413C2-A0E3-4376-B2E5-153F868CA700}">
  <sheetPr>
    <pageSetUpPr fitToPage="1"/>
  </sheetPr>
  <dimension ref="A1:V105"/>
  <sheetViews>
    <sheetView zoomScale="85" zoomScaleNormal="85" zoomScalePageLayoutView="55" workbookViewId="0">
      <selection activeCell="A2" sqref="A2:L2"/>
    </sheetView>
  </sheetViews>
  <sheetFormatPr baseColWidth="10" defaultRowHeight="12.75"/>
  <cols>
    <col min="1" max="1" width="3.42578125" style="134" customWidth="1"/>
    <col min="2" max="2" width="30.140625" style="134" customWidth="1"/>
    <col min="3" max="4" width="15.42578125" style="134" customWidth="1"/>
    <col min="5" max="5" width="14.42578125" style="134" customWidth="1"/>
    <col min="6" max="6" width="11.28515625" style="134" customWidth="1"/>
    <col min="7" max="8" width="10.85546875" style="134" customWidth="1"/>
    <col min="9" max="9" width="8.85546875" style="134" customWidth="1"/>
    <col min="10" max="10" width="8.140625" style="134" customWidth="1"/>
    <col min="11" max="11" width="6.28515625" style="134" customWidth="1"/>
    <col min="12" max="12" width="5.7109375" style="134" customWidth="1"/>
    <col min="13" max="256" width="11.42578125" style="134"/>
    <col min="257" max="257" width="3.42578125" style="134" customWidth="1"/>
    <col min="258" max="258" width="14.85546875" style="134" customWidth="1"/>
    <col min="259" max="259" width="15.42578125" style="134" customWidth="1"/>
    <col min="260" max="260" width="10.85546875" style="134" customWidth="1"/>
    <col min="261" max="261" width="14.42578125" style="134" customWidth="1"/>
    <col min="262" max="264" width="10.85546875" style="134" customWidth="1"/>
    <col min="265" max="265" width="14.7109375" style="134" customWidth="1"/>
    <col min="266" max="267" width="10.85546875" style="134" customWidth="1"/>
    <col min="268" max="268" width="5.7109375" style="134" customWidth="1"/>
    <col min="269" max="512" width="11.42578125" style="134"/>
    <col min="513" max="513" width="3.42578125" style="134" customWidth="1"/>
    <col min="514" max="514" width="14.85546875" style="134" customWidth="1"/>
    <col min="515" max="515" width="15.42578125" style="134" customWidth="1"/>
    <col min="516" max="516" width="10.85546875" style="134" customWidth="1"/>
    <col min="517" max="517" width="14.42578125" style="134" customWidth="1"/>
    <col min="518" max="520" width="10.85546875" style="134" customWidth="1"/>
    <col min="521" max="521" width="14.7109375" style="134" customWidth="1"/>
    <col min="522" max="523" width="10.85546875" style="134" customWidth="1"/>
    <col min="524" max="524" width="5.7109375" style="134" customWidth="1"/>
    <col min="525" max="768" width="11.42578125" style="134"/>
    <col min="769" max="769" width="3.42578125" style="134" customWidth="1"/>
    <col min="770" max="770" width="14.85546875" style="134" customWidth="1"/>
    <col min="771" max="771" width="15.42578125" style="134" customWidth="1"/>
    <col min="772" max="772" width="10.85546875" style="134" customWidth="1"/>
    <col min="773" max="773" width="14.42578125" style="134" customWidth="1"/>
    <col min="774" max="776" width="10.85546875" style="134" customWidth="1"/>
    <col min="777" max="777" width="14.7109375" style="134" customWidth="1"/>
    <col min="778" max="779" width="10.85546875" style="134" customWidth="1"/>
    <col min="780" max="780" width="5.7109375" style="134" customWidth="1"/>
    <col min="781" max="1024" width="11.42578125" style="134"/>
    <col min="1025" max="1025" width="3.42578125" style="134" customWidth="1"/>
    <col min="1026" max="1026" width="14.85546875" style="134" customWidth="1"/>
    <col min="1027" max="1027" width="15.42578125" style="134" customWidth="1"/>
    <col min="1028" max="1028" width="10.85546875" style="134" customWidth="1"/>
    <col min="1029" max="1029" width="14.42578125" style="134" customWidth="1"/>
    <col min="1030" max="1032" width="10.85546875" style="134" customWidth="1"/>
    <col min="1033" max="1033" width="14.7109375" style="134" customWidth="1"/>
    <col min="1034" max="1035" width="10.85546875" style="134" customWidth="1"/>
    <col min="1036" max="1036" width="5.7109375" style="134" customWidth="1"/>
    <col min="1037" max="1280" width="11.42578125" style="134"/>
    <col min="1281" max="1281" width="3.42578125" style="134" customWidth="1"/>
    <col min="1282" max="1282" width="14.85546875" style="134" customWidth="1"/>
    <col min="1283" max="1283" width="15.42578125" style="134" customWidth="1"/>
    <col min="1284" max="1284" width="10.85546875" style="134" customWidth="1"/>
    <col min="1285" max="1285" width="14.42578125" style="134" customWidth="1"/>
    <col min="1286" max="1288" width="10.85546875" style="134" customWidth="1"/>
    <col min="1289" max="1289" width="14.7109375" style="134" customWidth="1"/>
    <col min="1290" max="1291" width="10.85546875" style="134" customWidth="1"/>
    <col min="1292" max="1292" width="5.7109375" style="134" customWidth="1"/>
    <col min="1293" max="1536" width="11.42578125" style="134"/>
    <col min="1537" max="1537" width="3.42578125" style="134" customWidth="1"/>
    <col min="1538" max="1538" width="14.85546875" style="134" customWidth="1"/>
    <col min="1539" max="1539" width="15.42578125" style="134" customWidth="1"/>
    <col min="1540" max="1540" width="10.85546875" style="134" customWidth="1"/>
    <col min="1541" max="1541" width="14.42578125" style="134" customWidth="1"/>
    <col min="1542" max="1544" width="10.85546875" style="134" customWidth="1"/>
    <col min="1545" max="1545" width="14.7109375" style="134" customWidth="1"/>
    <col min="1546" max="1547" width="10.85546875" style="134" customWidth="1"/>
    <col min="1548" max="1548" width="5.7109375" style="134" customWidth="1"/>
    <col min="1549" max="1792" width="11.42578125" style="134"/>
    <col min="1793" max="1793" width="3.42578125" style="134" customWidth="1"/>
    <col min="1794" max="1794" width="14.85546875" style="134" customWidth="1"/>
    <col min="1795" max="1795" width="15.42578125" style="134" customWidth="1"/>
    <col min="1796" max="1796" width="10.85546875" style="134" customWidth="1"/>
    <col min="1797" max="1797" width="14.42578125" style="134" customWidth="1"/>
    <col min="1798" max="1800" width="10.85546875" style="134" customWidth="1"/>
    <col min="1801" max="1801" width="14.7109375" style="134" customWidth="1"/>
    <col min="1802" max="1803" width="10.85546875" style="134" customWidth="1"/>
    <col min="1804" max="1804" width="5.7109375" style="134" customWidth="1"/>
    <col min="1805" max="2048" width="11.42578125" style="134"/>
    <col min="2049" max="2049" width="3.42578125" style="134" customWidth="1"/>
    <col min="2050" max="2050" width="14.85546875" style="134" customWidth="1"/>
    <col min="2051" max="2051" width="15.42578125" style="134" customWidth="1"/>
    <col min="2052" max="2052" width="10.85546875" style="134" customWidth="1"/>
    <col min="2053" max="2053" width="14.42578125" style="134" customWidth="1"/>
    <col min="2054" max="2056" width="10.85546875" style="134" customWidth="1"/>
    <col min="2057" max="2057" width="14.7109375" style="134" customWidth="1"/>
    <col min="2058" max="2059" width="10.85546875" style="134" customWidth="1"/>
    <col min="2060" max="2060" width="5.7109375" style="134" customWidth="1"/>
    <col min="2061" max="2304" width="11.42578125" style="134"/>
    <col min="2305" max="2305" width="3.42578125" style="134" customWidth="1"/>
    <col min="2306" max="2306" width="14.85546875" style="134" customWidth="1"/>
    <col min="2307" max="2307" width="15.42578125" style="134" customWidth="1"/>
    <col min="2308" max="2308" width="10.85546875" style="134" customWidth="1"/>
    <col min="2309" max="2309" width="14.42578125" style="134" customWidth="1"/>
    <col min="2310" max="2312" width="10.85546875" style="134" customWidth="1"/>
    <col min="2313" max="2313" width="14.7109375" style="134" customWidth="1"/>
    <col min="2314" max="2315" width="10.85546875" style="134" customWidth="1"/>
    <col min="2316" max="2316" width="5.7109375" style="134" customWidth="1"/>
    <col min="2317" max="2560" width="11.42578125" style="134"/>
    <col min="2561" max="2561" width="3.42578125" style="134" customWidth="1"/>
    <col min="2562" max="2562" width="14.85546875" style="134" customWidth="1"/>
    <col min="2563" max="2563" width="15.42578125" style="134" customWidth="1"/>
    <col min="2564" max="2564" width="10.85546875" style="134" customWidth="1"/>
    <col min="2565" max="2565" width="14.42578125" style="134" customWidth="1"/>
    <col min="2566" max="2568" width="10.85546875" style="134" customWidth="1"/>
    <col min="2569" max="2569" width="14.7109375" style="134" customWidth="1"/>
    <col min="2570" max="2571" width="10.85546875" style="134" customWidth="1"/>
    <col min="2572" max="2572" width="5.7109375" style="134" customWidth="1"/>
    <col min="2573" max="2816" width="11.42578125" style="134"/>
    <col min="2817" max="2817" width="3.42578125" style="134" customWidth="1"/>
    <col min="2818" max="2818" width="14.85546875" style="134" customWidth="1"/>
    <col min="2819" max="2819" width="15.42578125" style="134" customWidth="1"/>
    <col min="2820" max="2820" width="10.85546875" style="134" customWidth="1"/>
    <col min="2821" max="2821" width="14.42578125" style="134" customWidth="1"/>
    <col min="2822" max="2824" width="10.85546875" style="134" customWidth="1"/>
    <col min="2825" max="2825" width="14.7109375" style="134" customWidth="1"/>
    <col min="2826" max="2827" width="10.85546875" style="134" customWidth="1"/>
    <col min="2828" max="2828" width="5.7109375" style="134" customWidth="1"/>
    <col min="2829" max="3072" width="11.42578125" style="134"/>
    <col min="3073" max="3073" width="3.42578125" style="134" customWidth="1"/>
    <col min="3074" max="3074" width="14.85546875" style="134" customWidth="1"/>
    <col min="3075" max="3075" width="15.42578125" style="134" customWidth="1"/>
    <col min="3076" max="3076" width="10.85546875" style="134" customWidth="1"/>
    <col min="3077" max="3077" width="14.42578125" style="134" customWidth="1"/>
    <col min="3078" max="3080" width="10.85546875" style="134" customWidth="1"/>
    <col min="3081" max="3081" width="14.7109375" style="134" customWidth="1"/>
    <col min="3082" max="3083" width="10.85546875" style="134" customWidth="1"/>
    <col min="3084" max="3084" width="5.7109375" style="134" customWidth="1"/>
    <col min="3085" max="3328" width="11.42578125" style="134"/>
    <col min="3329" max="3329" width="3.42578125" style="134" customWidth="1"/>
    <col min="3330" max="3330" width="14.85546875" style="134" customWidth="1"/>
    <col min="3331" max="3331" width="15.42578125" style="134" customWidth="1"/>
    <col min="3332" max="3332" width="10.85546875" style="134" customWidth="1"/>
    <col min="3333" max="3333" width="14.42578125" style="134" customWidth="1"/>
    <col min="3334" max="3336" width="10.85546875" style="134" customWidth="1"/>
    <col min="3337" max="3337" width="14.7109375" style="134" customWidth="1"/>
    <col min="3338" max="3339" width="10.85546875" style="134" customWidth="1"/>
    <col min="3340" max="3340" width="5.7109375" style="134" customWidth="1"/>
    <col min="3341" max="3584" width="11.42578125" style="134"/>
    <col min="3585" max="3585" width="3.42578125" style="134" customWidth="1"/>
    <col min="3586" max="3586" width="14.85546875" style="134" customWidth="1"/>
    <col min="3587" max="3587" width="15.42578125" style="134" customWidth="1"/>
    <col min="3588" max="3588" width="10.85546875" style="134" customWidth="1"/>
    <col min="3589" max="3589" width="14.42578125" style="134" customWidth="1"/>
    <col min="3590" max="3592" width="10.85546875" style="134" customWidth="1"/>
    <col min="3593" max="3593" width="14.7109375" style="134" customWidth="1"/>
    <col min="3594" max="3595" width="10.85546875" style="134" customWidth="1"/>
    <col min="3596" max="3596" width="5.7109375" style="134" customWidth="1"/>
    <col min="3597" max="3840" width="11.42578125" style="134"/>
    <col min="3841" max="3841" width="3.42578125" style="134" customWidth="1"/>
    <col min="3842" max="3842" width="14.85546875" style="134" customWidth="1"/>
    <col min="3843" max="3843" width="15.42578125" style="134" customWidth="1"/>
    <col min="3844" max="3844" width="10.85546875" style="134" customWidth="1"/>
    <col min="3845" max="3845" width="14.42578125" style="134" customWidth="1"/>
    <col min="3846" max="3848" width="10.85546875" style="134" customWidth="1"/>
    <col min="3849" max="3849" width="14.7109375" style="134" customWidth="1"/>
    <col min="3850" max="3851" width="10.85546875" style="134" customWidth="1"/>
    <col min="3852" max="3852" width="5.7109375" style="134" customWidth="1"/>
    <col min="3853" max="4096" width="11.42578125" style="134"/>
    <col min="4097" max="4097" width="3.42578125" style="134" customWidth="1"/>
    <col min="4098" max="4098" width="14.85546875" style="134" customWidth="1"/>
    <col min="4099" max="4099" width="15.42578125" style="134" customWidth="1"/>
    <col min="4100" max="4100" width="10.85546875" style="134" customWidth="1"/>
    <col min="4101" max="4101" width="14.42578125" style="134" customWidth="1"/>
    <col min="4102" max="4104" width="10.85546875" style="134" customWidth="1"/>
    <col min="4105" max="4105" width="14.7109375" style="134" customWidth="1"/>
    <col min="4106" max="4107" width="10.85546875" style="134" customWidth="1"/>
    <col min="4108" max="4108" width="5.7109375" style="134" customWidth="1"/>
    <col min="4109" max="4352" width="11.42578125" style="134"/>
    <col min="4353" max="4353" width="3.42578125" style="134" customWidth="1"/>
    <col min="4354" max="4354" width="14.85546875" style="134" customWidth="1"/>
    <col min="4355" max="4355" width="15.42578125" style="134" customWidth="1"/>
    <col min="4356" max="4356" width="10.85546875" style="134" customWidth="1"/>
    <col min="4357" max="4357" width="14.42578125" style="134" customWidth="1"/>
    <col min="4358" max="4360" width="10.85546875" style="134" customWidth="1"/>
    <col min="4361" max="4361" width="14.7109375" style="134" customWidth="1"/>
    <col min="4362" max="4363" width="10.85546875" style="134" customWidth="1"/>
    <col min="4364" max="4364" width="5.7109375" style="134" customWidth="1"/>
    <col min="4365" max="4608" width="11.42578125" style="134"/>
    <col min="4609" max="4609" width="3.42578125" style="134" customWidth="1"/>
    <col min="4610" max="4610" width="14.85546875" style="134" customWidth="1"/>
    <col min="4611" max="4611" width="15.42578125" style="134" customWidth="1"/>
    <col min="4612" max="4612" width="10.85546875" style="134" customWidth="1"/>
    <col min="4613" max="4613" width="14.42578125" style="134" customWidth="1"/>
    <col min="4614" max="4616" width="10.85546875" style="134" customWidth="1"/>
    <col min="4617" max="4617" width="14.7109375" style="134" customWidth="1"/>
    <col min="4618" max="4619" width="10.85546875" style="134" customWidth="1"/>
    <col min="4620" max="4620" width="5.7109375" style="134" customWidth="1"/>
    <col min="4621" max="4864" width="11.42578125" style="134"/>
    <col min="4865" max="4865" width="3.42578125" style="134" customWidth="1"/>
    <col min="4866" max="4866" width="14.85546875" style="134" customWidth="1"/>
    <col min="4867" max="4867" width="15.42578125" style="134" customWidth="1"/>
    <col min="4868" max="4868" width="10.85546875" style="134" customWidth="1"/>
    <col min="4869" max="4869" width="14.42578125" style="134" customWidth="1"/>
    <col min="4870" max="4872" width="10.85546875" style="134" customWidth="1"/>
    <col min="4873" max="4873" width="14.7109375" style="134" customWidth="1"/>
    <col min="4874" max="4875" width="10.85546875" style="134" customWidth="1"/>
    <col min="4876" max="4876" width="5.7109375" style="134" customWidth="1"/>
    <col min="4877" max="5120" width="11.42578125" style="134"/>
    <col min="5121" max="5121" width="3.42578125" style="134" customWidth="1"/>
    <col min="5122" max="5122" width="14.85546875" style="134" customWidth="1"/>
    <col min="5123" max="5123" width="15.42578125" style="134" customWidth="1"/>
    <col min="5124" max="5124" width="10.85546875" style="134" customWidth="1"/>
    <col min="5125" max="5125" width="14.42578125" style="134" customWidth="1"/>
    <col min="5126" max="5128" width="10.85546875" style="134" customWidth="1"/>
    <col min="5129" max="5129" width="14.7109375" style="134" customWidth="1"/>
    <col min="5130" max="5131" width="10.85546875" style="134" customWidth="1"/>
    <col min="5132" max="5132" width="5.7109375" style="134" customWidth="1"/>
    <col min="5133" max="5376" width="11.42578125" style="134"/>
    <col min="5377" max="5377" width="3.42578125" style="134" customWidth="1"/>
    <col min="5378" max="5378" width="14.85546875" style="134" customWidth="1"/>
    <col min="5379" max="5379" width="15.42578125" style="134" customWidth="1"/>
    <col min="5380" max="5380" width="10.85546875" style="134" customWidth="1"/>
    <col min="5381" max="5381" width="14.42578125" style="134" customWidth="1"/>
    <col min="5382" max="5384" width="10.85546875" style="134" customWidth="1"/>
    <col min="5385" max="5385" width="14.7109375" style="134" customWidth="1"/>
    <col min="5386" max="5387" width="10.85546875" style="134" customWidth="1"/>
    <col min="5388" max="5388" width="5.7109375" style="134" customWidth="1"/>
    <col min="5389" max="5632" width="11.42578125" style="134"/>
    <col min="5633" max="5633" width="3.42578125" style="134" customWidth="1"/>
    <col min="5634" max="5634" width="14.85546875" style="134" customWidth="1"/>
    <col min="5635" max="5635" width="15.42578125" style="134" customWidth="1"/>
    <col min="5636" max="5636" width="10.85546875" style="134" customWidth="1"/>
    <col min="5637" max="5637" width="14.42578125" style="134" customWidth="1"/>
    <col min="5638" max="5640" width="10.85546875" style="134" customWidth="1"/>
    <col min="5641" max="5641" width="14.7109375" style="134" customWidth="1"/>
    <col min="5642" max="5643" width="10.85546875" style="134" customWidth="1"/>
    <col min="5644" max="5644" width="5.7109375" style="134" customWidth="1"/>
    <col min="5645" max="5888" width="11.42578125" style="134"/>
    <col min="5889" max="5889" width="3.42578125" style="134" customWidth="1"/>
    <col min="5890" max="5890" width="14.85546875" style="134" customWidth="1"/>
    <col min="5891" max="5891" width="15.42578125" style="134" customWidth="1"/>
    <col min="5892" max="5892" width="10.85546875" style="134" customWidth="1"/>
    <col min="5893" max="5893" width="14.42578125" style="134" customWidth="1"/>
    <col min="5894" max="5896" width="10.85546875" style="134" customWidth="1"/>
    <col min="5897" max="5897" width="14.7109375" style="134" customWidth="1"/>
    <col min="5898" max="5899" width="10.85546875" style="134" customWidth="1"/>
    <col min="5900" max="5900" width="5.7109375" style="134" customWidth="1"/>
    <col min="5901" max="6144" width="11.42578125" style="134"/>
    <col min="6145" max="6145" width="3.42578125" style="134" customWidth="1"/>
    <col min="6146" max="6146" width="14.85546875" style="134" customWidth="1"/>
    <col min="6147" max="6147" width="15.42578125" style="134" customWidth="1"/>
    <col min="6148" max="6148" width="10.85546875" style="134" customWidth="1"/>
    <col min="6149" max="6149" width="14.42578125" style="134" customWidth="1"/>
    <col min="6150" max="6152" width="10.85546875" style="134" customWidth="1"/>
    <col min="6153" max="6153" width="14.7109375" style="134" customWidth="1"/>
    <col min="6154" max="6155" width="10.85546875" style="134" customWidth="1"/>
    <col min="6156" max="6156" width="5.7109375" style="134" customWidth="1"/>
    <col min="6157" max="6400" width="11.42578125" style="134"/>
    <col min="6401" max="6401" width="3.42578125" style="134" customWidth="1"/>
    <col min="6402" max="6402" width="14.85546875" style="134" customWidth="1"/>
    <col min="6403" max="6403" width="15.42578125" style="134" customWidth="1"/>
    <col min="6404" max="6404" width="10.85546875" style="134" customWidth="1"/>
    <col min="6405" max="6405" width="14.42578125" style="134" customWidth="1"/>
    <col min="6406" max="6408" width="10.85546875" style="134" customWidth="1"/>
    <col min="6409" max="6409" width="14.7109375" style="134" customWidth="1"/>
    <col min="6410" max="6411" width="10.85546875" style="134" customWidth="1"/>
    <col min="6412" max="6412" width="5.7109375" style="134" customWidth="1"/>
    <col min="6413" max="6656" width="11.42578125" style="134"/>
    <col min="6657" max="6657" width="3.42578125" style="134" customWidth="1"/>
    <col min="6658" max="6658" width="14.85546875" style="134" customWidth="1"/>
    <col min="6659" max="6659" width="15.42578125" style="134" customWidth="1"/>
    <col min="6660" max="6660" width="10.85546875" style="134" customWidth="1"/>
    <col min="6661" max="6661" width="14.42578125" style="134" customWidth="1"/>
    <col min="6662" max="6664" width="10.85546875" style="134" customWidth="1"/>
    <col min="6665" max="6665" width="14.7109375" style="134" customWidth="1"/>
    <col min="6666" max="6667" width="10.85546875" style="134" customWidth="1"/>
    <col min="6668" max="6668" width="5.7109375" style="134" customWidth="1"/>
    <col min="6669" max="6912" width="11.42578125" style="134"/>
    <col min="6913" max="6913" width="3.42578125" style="134" customWidth="1"/>
    <col min="6914" max="6914" width="14.85546875" style="134" customWidth="1"/>
    <col min="6915" max="6915" width="15.42578125" style="134" customWidth="1"/>
    <col min="6916" max="6916" width="10.85546875" style="134" customWidth="1"/>
    <col min="6917" max="6917" width="14.42578125" style="134" customWidth="1"/>
    <col min="6918" max="6920" width="10.85546875" style="134" customWidth="1"/>
    <col min="6921" max="6921" width="14.7109375" style="134" customWidth="1"/>
    <col min="6922" max="6923" width="10.85546875" style="134" customWidth="1"/>
    <col min="6924" max="6924" width="5.7109375" style="134" customWidth="1"/>
    <col min="6925" max="7168" width="11.42578125" style="134"/>
    <col min="7169" max="7169" width="3.42578125" style="134" customWidth="1"/>
    <col min="7170" max="7170" width="14.85546875" style="134" customWidth="1"/>
    <col min="7171" max="7171" width="15.42578125" style="134" customWidth="1"/>
    <col min="7172" max="7172" width="10.85546875" style="134" customWidth="1"/>
    <col min="7173" max="7173" width="14.42578125" style="134" customWidth="1"/>
    <col min="7174" max="7176" width="10.85546875" style="134" customWidth="1"/>
    <col min="7177" max="7177" width="14.7109375" style="134" customWidth="1"/>
    <col min="7178" max="7179" width="10.85546875" style="134" customWidth="1"/>
    <col min="7180" max="7180" width="5.7109375" style="134" customWidth="1"/>
    <col min="7181" max="7424" width="11.42578125" style="134"/>
    <col min="7425" max="7425" width="3.42578125" style="134" customWidth="1"/>
    <col min="7426" max="7426" width="14.85546875" style="134" customWidth="1"/>
    <col min="7427" max="7427" width="15.42578125" style="134" customWidth="1"/>
    <col min="7428" max="7428" width="10.85546875" style="134" customWidth="1"/>
    <col min="7429" max="7429" width="14.42578125" style="134" customWidth="1"/>
    <col min="7430" max="7432" width="10.85546875" style="134" customWidth="1"/>
    <col min="7433" max="7433" width="14.7109375" style="134" customWidth="1"/>
    <col min="7434" max="7435" width="10.85546875" style="134" customWidth="1"/>
    <col min="7436" max="7436" width="5.7109375" style="134" customWidth="1"/>
    <col min="7437" max="7680" width="11.42578125" style="134"/>
    <col min="7681" max="7681" width="3.42578125" style="134" customWidth="1"/>
    <col min="7682" max="7682" width="14.85546875" style="134" customWidth="1"/>
    <col min="7683" max="7683" width="15.42578125" style="134" customWidth="1"/>
    <col min="7684" max="7684" width="10.85546875" style="134" customWidth="1"/>
    <col min="7685" max="7685" width="14.42578125" style="134" customWidth="1"/>
    <col min="7686" max="7688" width="10.85546875" style="134" customWidth="1"/>
    <col min="7689" max="7689" width="14.7109375" style="134" customWidth="1"/>
    <col min="7690" max="7691" width="10.85546875" style="134" customWidth="1"/>
    <col min="7692" max="7692" width="5.7109375" style="134" customWidth="1"/>
    <col min="7693" max="7936" width="11.42578125" style="134"/>
    <col min="7937" max="7937" width="3.42578125" style="134" customWidth="1"/>
    <col min="7938" max="7938" width="14.85546875" style="134" customWidth="1"/>
    <col min="7939" max="7939" width="15.42578125" style="134" customWidth="1"/>
    <col min="7940" max="7940" width="10.85546875" style="134" customWidth="1"/>
    <col min="7941" max="7941" width="14.42578125" style="134" customWidth="1"/>
    <col min="7942" max="7944" width="10.85546875" style="134" customWidth="1"/>
    <col min="7945" max="7945" width="14.7109375" style="134" customWidth="1"/>
    <col min="7946" max="7947" width="10.85546875" style="134" customWidth="1"/>
    <col min="7948" max="7948" width="5.7109375" style="134" customWidth="1"/>
    <col min="7949" max="8192" width="11.42578125" style="134"/>
    <col min="8193" max="8193" width="3.42578125" style="134" customWidth="1"/>
    <col min="8194" max="8194" width="14.85546875" style="134" customWidth="1"/>
    <col min="8195" max="8195" width="15.42578125" style="134" customWidth="1"/>
    <col min="8196" max="8196" width="10.85546875" style="134" customWidth="1"/>
    <col min="8197" max="8197" width="14.42578125" style="134" customWidth="1"/>
    <col min="8198" max="8200" width="10.85546875" style="134" customWidth="1"/>
    <col min="8201" max="8201" width="14.7109375" style="134" customWidth="1"/>
    <col min="8202" max="8203" width="10.85546875" style="134" customWidth="1"/>
    <col min="8204" max="8204" width="5.7109375" style="134" customWidth="1"/>
    <col min="8205" max="8448" width="11.42578125" style="134"/>
    <col min="8449" max="8449" width="3.42578125" style="134" customWidth="1"/>
    <col min="8450" max="8450" width="14.85546875" style="134" customWidth="1"/>
    <col min="8451" max="8451" width="15.42578125" style="134" customWidth="1"/>
    <col min="8452" max="8452" width="10.85546875" style="134" customWidth="1"/>
    <col min="8453" max="8453" width="14.42578125" style="134" customWidth="1"/>
    <col min="8454" max="8456" width="10.85546875" style="134" customWidth="1"/>
    <col min="8457" max="8457" width="14.7109375" style="134" customWidth="1"/>
    <col min="8458" max="8459" width="10.85546875" style="134" customWidth="1"/>
    <col min="8460" max="8460" width="5.7109375" style="134" customWidth="1"/>
    <col min="8461" max="8704" width="11.42578125" style="134"/>
    <col min="8705" max="8705" width="3.42578125" style="134" customWidth="1"/>
    <col min="8706" max="8706" width="14.85546875" style="134" customWidth="1"/>
    <col min="8707" max="8707" width="15.42578125" style="134" customWidth="1"/>
    <col min="8708" max="8708" width="10.85546875" style="134" customWidth="1"/>
    <col min="8709" max="8709" width="14.42578125" style="134" customWidth="1"/>
    <col min="8710" max="8712" width="10.85546875" style="134" customWidth="1"/>
    <col min="8713" max="8713" width="14.7109375" style="134" customWidth="1"/>
    <col min="8714" max="8715" width="10.85546875" style="134" customWidth="1"/>
    <col min="8716" max="8716" width="5.7109375" style="134" customWidth="1"/>
    <col min="8717" max="8960" width="11.42578125" style="134"/>
    <col min="8961" max="8961" width="3.42578125" style="134" customWidth="1"/>
    <col min="8962" max="8962" width="14.85546875" style="134" customWidth="1"/>
    <col min="8963" max="8963" width="15.42578125" style="134" customWidth="1"/>
    <col min="8964" max="8964" width="10.85546875" style="134" customWidth="1"/>
    <col min="8965" max="8965" width="14.42578125" style="134" customWidth="1"/>
    <col min="8966" max="8968" width="10.85546875" style="134" customWidth="1"/>
    <col min="8969" max="8969" width="14.7109375" style="134" customWidth="1"/>
    <col min="8970" max="8971" width="10.85546875" style="134" customWidth="1"/>
    <col min="8972" max="8972" width="5.7109375" style="134" customWidth="1"/>
    <col min="8973" max="9216" width="11.42578125" style="134"/>
    <col min="9217" max="9217" width="3.42578125" style="134" customWidth="1"/>
    <col min="9218" max="9218" width="14.85546875" style="134" customWidth="1"/>
    <col min="9219" max="9219" width="15.42578125" style="134" customWidth="1"/>
    <col min="9220" max="9220" width="10.85546875" style="134" customWidth="1"/>
    <col min="9221" max="9221" width="14.42578125" style="134" customWidth="1"/>
    <col min="9222" max="9224" width="10.85546875" style="134" customWidth="1"/>
    <col min="9225" max="9225" width="14.7109375" style="134" customWidth="1"/>
    <col min="9226" max="9227" width="10.85546875" style="134" customWidth="1"/>
    <col min="9228" max="9228" width="5.7109375" style="134" customWidth="1"/>
    <col min="9229" max="9472" width="11.42578125" style="134"/>
    <col min="9473" max="9473" width="3.42578125" style="134" customWidth="1"/>
    <col min="9474" max="9474" width="14.85546875" style="134" customWidth="1"/>
    <col min="9475" max="9475" width="15.42578125" style="134" customWidth="1"/>
    <col min="9476" max="9476" width="10.85546875" style="134" customWidth="1"/>
    <col min="9477" max="9477" width="14.42578125" style="134" customWidth="1"/>
    <col min="9478" max="9480" width="10.85546875" style="134" customWidth="1"/>
    <col min="9481" max="9481" width="14.7109375" style="134" customWidth="1"/>
    <col min="9482" max="9483" width="10.85546875" style="134" customWidth="1"/>
    <col min="9484" max="9484" width="5.7109375" style="134" customWidth="1"/>
    <col min="9485" max="9728" width="11.42578125" style="134"/>
    <col min="9729" max="9729" width="3.42578125" style="134" customWidth="1"/>
    <col min="9730" max="9730" width="14.85546875" style="134" customWidth="1"/>
    <col min="9731" max="9731" width="15.42578125" style="134" customWidth="1"/>
    <col min="9732" max="9732" width="10.85546875" style="134" customWidth="1"/>
    <col min="9733" max="9733" width="14.42578125" style="134" customWidth="1"/>
    <col min="9734" max="9736" width="10.85546875" style="134" customWidth="1"/>
    <col min="9737" max="9737" width="14.7109375" style="134" customWidth="1"/>
    <col min="9738" max="9739" width="10.85546875" style="134" customWidth="1"/>
    <col min="9740" max="9740" width="5.7109375" style="134" customWidth="1"/>
    <col min="9741" max="9984" width="11.42578125" style="134"/>
    <col min="9985" max="9985" width="3.42578125" style="134" customWidth="1"/>
    <col min="9986" max="9986" width="14.85546875" style="134" customWidth="1"/>
    <col min="9987" max="9987" width="15.42578125" style="134" customWidth="1"/>
    <col min="9988" max="9988" width="10.85546875" style="134" customWidth="1"/>
    <col min="9989" max="9989" width="14.42578125" style="134" customWidth="1"/>
    <col min="9990" max="9992" width="10.85546875" style="134" customWidth="1"/>
    <col min="9993" max="9993" width="14.7109375" style="134" customWidth="1"/>
    <col min="9994" max="9995" width="10.85546875" style="134" customWidth="1"/>
    <col min="9996" max="9996" width="5.7109375" style="134" customWidth="1"/>
    <col min="9997" max="10240" width="11.42578125" style="134"/>
    <col min="10241" max="10241" width="3.42578125" style="134" customWidth="1"/>
    <col min="10242" max="10242" width="14.85546875" style="134" customWidth="1"/>
    <col min="10243" max="10243" width="15.42578125" style="134" customWidth="1"/>
    <col min="10244" max="10244" width="10.85546875" style="134" customWidth="1"/>
    <col min="10245" max="10245" width="14.42578125" style="134" customWidth="1"/>
    <col min="10246" max="10248" width="10.85546875" style="134" customWidth="1"/>
    <col min="10249" max="10249" width="14.7109375" style="134" customWidth="1"/>
    <col min="10250" max="10251" width="10.85546875" style="134" customWidth="1"/>
    <col min="10252" max="10252" width="5.7109375" style="134" customWidth="1"/>
    <col min="10253" max="10496" width="11.42578125" style="134"/>
    <col min="10497" max="10497" width="3.42578125" style="134" customWidth="1"/>
    <col min="10498" max="10498" width="14.85546875" style="134" customWidth="1"/>
    <col min="10499" max="10499" width="15.42578125" style="134" customWidth="1"/>
    <col min="10500" max="10500" width="10.85546875" style="134" customWidth="1"/>
    <col min="10501" max="10501" width="14.42578125" style="134" customWidth="1"/>
    <col min="10502" max="10504" width="10.85546875" style="134" customWidth="1"/>
    <col min="10505" max="10505" width="14.7109375" style="134" customWidth="1"/>
    <col min="10506" max="10507" width="10.85546875" style="134" customWidth="1"/>
    <col min="10508" max="10508" width="5.7109375" style="134" customWidth="1"/>
    <col min="10509" max="10752" width="11.42578125" style="134"/>
    <col min="10753" max="10753" width="3.42578125" style="134" customWidth="1"/>
    <col min="10754" max="10754" width="14.85546875" style="134" customWidth="1"/>
    <col min="10755" max="10755" width="15.42578125" style="134" customWidth="1"/>
    <col min="10756" max="10756" width="10.85546875" style="134" customWidth="1"/>
    <col min="10757" max="10757" width="14.42578125" style="134" customWidth="1"/>
    <col min="10758" max="10760" width="10.85546875" style="134" customWidth="1"/>
    <col min="10761" max="10761" width="14.7109375" style="134" customWidth="1"/>
    <col min="10762" max="10763" width="10.85546875" style="134" customWidth="1"/>
    <col min="10764" max="10764" width="5.7109375" style="134" customWidth="1"/>
    <col min="10765" max="11008" width="11.42578125" style="134"/>
    <col min="11009" max="11009" width="3.42578125" style="134" customWidth="1"/>
    <col min="11010" max="11010" width="14.85546875" style="134" customWidth="1"/>
    <col min="11011" max="11011" width="15.42578125" style="134" customWidth="1"/>
    <col min="11012" max="11012" width="10.85546875" style="134" customWidth="1"/>
    <col min="11013" max="11013" width="14.42578125" style="134" customWidth="1"/>
    <col min="11014" max="11016" width="10.85546875" style="134" customWidth="1"/>
    <col min="11017" max="11017" width="14.7109375" style="134" customWidth="1"/>
    <col min="11018" max="11019" width="10.85546875" style="134" customWidth="1"/>
    <col min="11020" max="11020" width="5.7109375" style="134" customWidth="1"/>
    <col min="11021" max="11264" width="11.42578125" style="134"/>
    <col min="11265" max="11265" width="3.42578125" style="134" customWidth="1"/>
    <col min="11266" max="11266" width="14.85546875" style="134" customWidth="1"/>
    <col min="11267" max="11267" width="15.42578125" style="134" customWidth="1"/>
    <col min="11268" max="11268" width="10.85546875" style="134" customWidth="1"/>
    <col min="11269" max="11269" width="14.42578125" style="134" customWidth="1"/>
    <col min="11270" max="11272" width="10.85546875" style="134" customWidth="1"/>
    <col min="11273" max="11273" width="14.7109375" style="134" customWidth="1"/>
    <col min="11274" max="11275" width="10.85546875" style="134" customWidth="1"/>
    <col min="11276" max="11276" width="5.7109375" style="134" customWidth="1"/>
    <col min="11277" max="11520" width="11.42578125" style="134"/>
    <col min="11521" max="11521" width="3.42578125" style="134" customWidth="1"/>
    <col min="11522" max="11522" width="14.85546875" style="134" customWidth="1"/>
    <col min="11523" max="11523" width="15.42578125" style="134" customWidth="1"/>
    <col min="11524" max="11524" width="10.85546875" style="134" customWidth="1"/>
    <col min="11525" max="11525" width="14.42578125" style="134" customWidth="1"/>
    <col min="11526" max="11528" width="10.85546875" style="134" customWidth="1"/>
    <col min="11529" max="11529" width="14.7109375" style="134" customWidth="1"/>
    <col min="11530" max="11531" width="10.85546875" style="134" customWidth="1"/>
    <col min="11532" max="11532" width="5.7109375" style="134" customWidth="1"/>
    <col min="11533" max="11776" width="11.42578125" style="134"/>
    <col min="11777" max="11777" width="3.42578125" style="134" customWidth="1"/>
    <col min="11778" max="11778" width="14.85546875" style="134" customWidth="1"/>
    <col min="11779" max="11779" width="15.42578125" style="134" customWidth="1"/>
    <col min="11780" max="11780" width="10.85546875" style="134" customWidth="1"/>
    <col min="11781" max="11781" width="14.42578125" style="134" customWidth="1"/>
    <col min="11782" max="11784" width="10.85546875" style="134" customWidth="1"/>
    <col min="11785" max="11785" width="14.7109375" style="134" customWidth="1"/>
    <col min="11786" max="11787" width="10.85546875" style="134" customWidth="1"/>
    <col min="11788" max="11788" width="5.7109375" style="134" customWidth="1"/>
    <col min="11789" max="12032" width="11.42578125" style="134"/>
    <col min="12033" max="12033" width="3.42578125" style="134" customWidth="1"/>
    <col min="12034" max="12034" width="14.85546875" style="134" customWidth="1"/>
    <col min="12035" max="12035" width="15.42578125" style="134" customWidth="1"/>
    <col min="12036" max="12036" width="10.85546875" style="134" customWidth="1"/>
    <col min="12037" max="12037" width="14.42578125" style="134" customWidth="1"/>
    <col min="12038" max="12040" width="10.85546875" style="134" customWidth="1"/>
    <col min="12041" max="12041" width="14.7109375" style="134" customWidth="1"/>
    <col min="12042" max="12043" width="10.85546875" style="134" customWidth="1"/>
    <col min="12044" max="12044" width="5.7109375" style="134" customWidth="1"/>
    <col min="12045" max="12288" width="11.42578125" style="134"/>
    <col min="12289" max="12289" width="3.42578125" style="134" customWidth="1"/>
    <col min="12290" max="12290" width="14.85546875" style="134" customWidth="1"/>
    <col min="12291" max="12291" width="15.42578125" style="134" customWidth="1"/>
    <col min="12292" max="12292" width="10.85546875" style="134" customWidth="1"/>
    <col min="12293" max="12293" width="14.42578125" style="134" customWidth="1"/>
    <col min="12294" max="12296" width="10.85546875" style="134" customWidth="1"/>
    <col min="12297" max="12297" width="14.7109375" style="134" customWidth="1"/>
    <col min="12298" max="12299" width="10.85546875" style="134" customWidth="1"/>
    <col min="12300" max="12300" width="5.7109375" style="134" customWidth="1"/>
    <col min="12301" max="12544" width="11.42578125" style="134"/>
    <col min="12545" max="12545" width="3.42578125" style="134" customWidth="1"/>
    <col min="12546" max="12546" width="14.85546875" style="134" customWidth="1"/>
    <col min="12547" max="12547" width="15.42578125" style="134" customWidth="1"/>
    <col min="12548" max="12548" width="10.85546875" style="134" customWidth="1"/>
    <col min="12549" max="12549" width="14.42578125" style="134" customWidth="1"/>
    <col min="12550" max="12552" width="10.85546875" style="134" customWidth="1"/>
    <col min="12553" max="12553" width="14.7109375" style="134" customWidth="1"/>
    <col min="12554" max="12555" width="10.85546875" style="134" customWidth="1"/>
    <col min="12556" max="12556" width="5.7109375" style="134" customWidth="1"/>
    <col min="12557" max="12800" width="11.42578125" style="134"/>
    <col min="12801" max="12801" width="3.42578125" style="134" customWidth="1"/>
    <col min="12802" max="12802" width="14.85546875" style="134" customWidth="1"/>
    <col min="12803" max="12803" width="15.42578125" style="134" customWidth="1"/>
    <col min="12804" max="12804" width="10.85546875" style="134" customWidth="1"/>
    <col min="12805" max="12805" width="14.42578125" style="134" customWidth="1"/>
    <col min="12806" max="12808" width="10.85546875" style="134" customWidth="1"/>
    <col min="12809" max="12809" width="14.7109375" style="134" customWidth="1"/>
    <col min="12810" max="12811" width="10.85546875" style="134" customWidth="1"/>
    <col min="12812" max="12812" width="5.7109375" style="134" customWidth="1"/>
    <col min="12813" max="13056" width="11.42578125" style="134"/>
    <col min="13057" max="13057" width="3.42578125" style="134" customWidth="1"/>
    <col min="13058" max="13058" width="14.85546875" style="134" customWidth="1"/>
    <col min="13059" max="13059" width="15.42578125" style="134" customWidth="1"/>
    <col min="13060" max="13060" width="10.85546875" style="134" customWidth="1"/>
    <col min="13061" max="13061" width="14.42578125" style="134" customWidth="1"/>
    <col min="13062" max="13064" width="10.85546875" style="134" customWidth="1"/>
    <col min="13065" max="13065" width="14.7109375" style="134" customWidth="1"/>
    <col min="13066" max="13067" width="10.85546875" style="134" customWidth="1"/>
    <col min="13068" max="13068" width="5.7109375" style="134" customWidth="1"/>
    <col min="13069" max="13312" width="11.42578125" style="134"/>
    <col min="13313" max="13313" width="3.42578125" style="134" customWidth="1"/>
    <col min="13314" max="13314" width="14.85546875" style="134" customWidth="1"/>
    <col min="13315" max="13315" width="15.42578125" style="134" customWidth="1"/>
    <col min="13316" max="13316" width="10.85546875" style="134" customWidth="1"/>
    <col min="13317" max="13317" width="14.42578125" style="134" customWidth="1"/>
    <col min="13318" max="13320" width="10.85546875" style="134" customWidth="1"/>
    <col min="13321" max="13321" width="14.7109375" style="134" customWidth="1"/>
    <col min="13322" max="13323" width="10.85546875" style="134" customWidth="1"/>
    <col min="13324" max="13324" width="5.7109375" style="134" customWidth="1"/>
    <col min="13325" max="13568" width="11.42578125" style="134"/>
    <col min="13569" max="13569" width="3.42578125" style="134" customWidth="1"/>
    <col min="13570" max="13570" width="14.85546875" style="134" customWidth="1"/>
    <col min="13571" max="13571" width="15.42578125" style="134" customWidth="1"/>
    <col min="13572" max="13572" width="10.85546875" style="134" customWidth="1"/>
    <col min="13573" max="13573" width="14.42578125" style="134" customWidth="1"/>
    <col min="13574" max="13576" width="10.85546875" style="134" customWidth="1"/>
    <col min="13577" max="13577" width="14.7109375" style="134" customWidth="1"/>
    <col min="13578" max="13579" width="10.85546875" style="134" customWidth="1"/>
    <col min="13580" max="13580" width="5.7109375" style="134" customWidth="1"/>
    <col min="13581" max="13824" width="11.42578125" style="134"/>
    <col min="13825" max="13825" width="3.42578125" style="134" customWidth="1"/>
    <col min="13826" max="13826" width="14.85546875" style="134" customWidth="1"/>
    <col min="13827" max="13827" width="15.42578125" style="134" customWidth="1"/>
    <col min="13828" max="13828" width="10.85546875" style="134" customWidth="1"/>
    <col min="13829" max="13829" width="14.42578125" style="134" customWidth="1"/>
    <col min="13830" max="13832" width="10.85546875" style="134" customWidth="1"/>
    <col min="13833" max="13833" width="14.7109375" style="134" customWidth="1"/>
    <col min="13834" max="13835" width="10.85546875" style="134" customWidth="1"/>
    <col min="13836" max="13836" width="5.7109375" style="134" customWidth="1"/>
    <col min="13837" max="14080" width="11.42578125" style="134"/>
    <col min="14081" max="14081" width="3.42578125" style="134" customWidth="1"/>
    <col min="14082" max="14082" width="14.85546875" style="134" customWidth="1"/>
    <col min="14083" max="14083" width="15.42578125" style="134" customWidth="1"/>
    <col min="14084" max="14084" width="10.85546875" style="134" customWidth="1"/>
    <col min="14085" max="14085" width="14.42578125" style="134" customWidth="1"/>
    <col min="14086" max="14088" width="10.85546875" style="134" customWidth="1"/>
    <col min="14089" max="14089" width="14.7109375" style="134" customWidth="1"/>
    <col min="14090" max="14091" width="10.85546875" style="134" customWidth="1"/>
    <col min="14092" max="14092" width="5.7109375" style="134" customWidth="1"/>
    <col min="14093" max="14336" width="11.42578125" style="134"/>
    <col min="14337" max="14337" width="3.42578125" style="134" customWidth="1"/>
    <col min="14338" max="14338" width="14.85546875" style="134" customWidth="1"/>
    <col min="14339" max="14339" width="15.42578125" style="134" customWidth="1"/>
    <col min="14340" max="14340" width="10.85546875" style="134" customWidth="1"/>
    <col min="14341" max="14341" width="14.42578125" style="134" customWidth="1"/>
    <col min="14342" max="14344" width="10.85546875" style="134" customWidth="1"/>
    <col min="14345" max="14345" width="14.7109375" style="134" customWidth="1"/>
    <col min="14346" max="14347" width="10.85546875" style="134" customWidth="1"/>
    <col min="14348" max="14348" width="5.7109375" style="134" customWidth="1"/>
    <col min="14349" max="14592" width="11.42578125" style="134"/>
    <col min="14593" max="14593" width="3.42578125" style="134" customWidth="1"/>
    <col min="14594" max="14594" width="14.85546875" style="134" customWidth="1"/>
    <col min="14595" max="14595" width="15.42578125" style="134" customWidth="1"/>
    <col min="14596" max="14596" width="10.85546875" style="134" customWidth="1"/>
    <col min="14597" max="14597" width="14.42578125" style="134" customWidth="1"/>
    <col min="14598" max="14600" width="10.85546875" style="134" customWidth="1"/>
    <col min="14601" max="14601" width="14.7109375" style="134" customWidth="1"/>
    <col min="14602" max="14603" width="10.85546875" style="134" customWidth="1"/>
    <col min="14604" max="14604" width="5.7109375" style="134" customWidth="1"/>
    <col min="14605" max="14848" width="11.42578125" style="134"/>
    <col min="14849" max="14849" width="3.42578125" style="134" customWidth="1"/>
    <col min="14850" max="14850" width="14.85546875" style="134" customWidth="1"/>
    <col min="14851" max="14851" width="15.42578125" style="134" customWidth="1"/>
    <col min="14852" max="14852" width="10.85546875" style="134" customWidth="1"/>
    <col min="14853" max="14853" width="14.42578125" style="134" customWidth="1"/>
    <col min="14854" max="14856" width="10.85546875" style="134" customWidth="1"/>
    <col min="14857" max="14857" width="14.7109375" style="134" customWidth="1"/>
    <col min="14858" max="14859" width="10.85546875" style="134" customWidth="1"/>
    <col min="14860" max="14860" width="5.7109375" style="134" customWidth="1"/>
    <col min="14861" max="15104" width="11.42578125" style="134"/>
    <col min="15105" max="15105" width="3.42578125" style="134" customWidth="1"/>
    <col min="15106" max="15106" width="14.85546875" style="134" customWidth="1"/>
    <col min="15107" max="15107" width="15.42578125" style="134" customWidth="1"/>
    <col min="15108" max="15108" width="10.85546875" style="134" customWidth="1"/>
    <col min="15109" max="15109" width="14.42578125" style="134" customWidth="1"/>
    <col min="15110" max="15112" width="10.85546875" style="134" customWidth="1"/>
    <col min="15113" max="15113" width="14.7109375" style="134" customWidth="1"/>
    <col min="15114" max="15115" width="10.85546875" style="134" customWidth="1"/>
    <col min="15116" max="15116" width="5.7109375" style="134" customWidth="1"/>
    <col min="15117" max="15360" width="11.42578125" style="134"/>
    <col min="15361" max="15361" width="3.42578125" style="134" customWidth="1"/>
    <col min="15362" max="15362" width="14.85546875" style="134" customWidth="1"/>
    <col min="15363" max="15363" width="15.42578125" style="134" customWidth="1"/>
    <col min="15364" max="15364" width="10.85546875" style="134" customWidth="1"/>
    <col min="15365" max="15365" width="14.42578125" style="134" customWidth="1"/>
    <col min="15366" max="15368" width="10.85546875" style="134" customWidth="1"/>
    <col min="15369" max="15369" width="14.7109375" style="134" customWidth="1"/>
    <col min="15370" max="15371" width="10.85546875" style="134" customWidth="1"/>
    <col min="15372" max="15372" width="5.7109375" style="134" customWidth="1"/>
    <col min="15373" max="15616" width="11.42578125" style="134"/>
    <col min="15617" max="15617" width="3.42578125" style="134" customWidth="1"/>
    <col min="15618" max="15618" width="14.85546875" style="134" customWidth="1"/>
    <col min="15619" max="15619" width="15.42578125" style="134" customWidth="1"/>
    <col min="15620" max="15620" width="10.85546875" style="134" customWidth="1"/>
    <col min="15621" max="15621" width="14.42578125" style="134" customWidth="1"/>
    <col min="15622" max="15624" width="10.85546875" style="134" customWidth="1"/>
    <col min="15625" max="15625" width="14.7109375" style="134" customWidth="1"/>
    <col min="15626" max="15627" width="10.85546875" style="134" customWidth="1"/>
    <col min="15628" max="15628" width="5.7109375" style="134" customWidth="1"/>
    <col min="15629" max="15872" width="11.42578125" style="134"/>
    <col min="15873" max="15873" width="3.42578125" style="134" customWidth="1"/>
    <col min="15874" max="15874" width="14.85546875" style="134" customWidth="1"/>
    <col min="15875" max="15875" width="15.42578125" style="134" customWidth="1"/>
    <col min="15876" max="15876" width="10.85546875" style="134" customWidth="1"/>
    <col min="15877" max="15877" width="14.42578125" style="134" customWidth="1"/>
    <col min="15878" max="15880" width="10.85546875" style="134" customWidth="1"/>
    <col min="15881" max="15881" width="14.7109375" style="134" customWidth="1"/>
    <col min="15882" max="15883" width="10.85546875" style="134" customWidth="1"/>
    <col min="15884" max="15884" width="5.7109375" style="134" customWidth="1"/>
    <col min="15885" max="16128" width="11.42578125" style="134"/>
    <col min="16129" max="16129" width="3.42578125" style="134" customWidth="1"/>
    <col min="16130" max="16130" width="14.85546875" style="134" customWidth="1"/>
    <col min="16131" max="16131" width="15.42578125" style="134" customWidth="1"/>
    <col min="16132" max="16132" width="10.85546875" style="134" customWidth="1"/>
    <col min="16133" max="16133" width="14.42578125" style="134" customWidth="1"/>
    <col min="16134" max="16136" width="10.85546875" style="134" customWidth="1"/>
    <col min="16137" max="16137" width="14.7109375" style="134" customWidth="1"/>
    <col min="16138" max="16139" width="10.85546875" style="134" customWidth="1"/>
    <col min="16140" max="16140" width="5.7109375" style="134" customWidth="1"/>
    <col min="16141" max="16384" width="11.42578125" style="134"/>
  </cols>
  <sheetData>
    <row r="1" spans="1:22">
      <c r="A1" s="167"/>
      <c r="B1" s="168"/>
      <c r="C1" s="169"/>
      <c r="D1" s="168"/>
      <c r="E1" s="169"/>
      <c r="F1" s="169"/>
      <c r="G1" s="169"/>
      <c r="H1" s="169"/>
      <c r="I1" s="169"/>
      <c r="J1" s="169"/>
      <c r="K1" s="169"/>
      <c r="L1" s="170"/>
    </row>
    <row r="2" spans="1:22" ht="50.1" customHeight="1">
      <c r="A2" s="299" t="s">
        <v>273</v>
      </c>
      <c r="B2" s="300"/>
      <c r="C2" s="300"/>
      <c r="D2" s="300"/>
      <c r="E2" s="300"/>
      <c r="F2" s="300"/>
      <c r="G2" s="300"/>
      <c r="H2" s="300"/>
      <c r="I2" s="300"/>
      <c r="J2" s="300"/>
      <c r="K2" s="300"/>
      <c r="L2" s="301"/>
    </row>
    <row r="3" spans="1:22">
      <c r="A3" s="171" t="s">
        <v>1</v>
      </c>
      <c r="B3" s="172" t="s">
        <v>25</v>
      </c>
      <c r="C3" s="173"/>
      <c r="D3" s="174"/>
      <c r="E3" s="173"/>
      <c r="F3" s="173"/>
      <c r="G3" s="173"/>
      <c r="H3" s="173"/>
      <c r="I3" s="173"/>
      <c r="J3" s="173"/>
      <c r="K3" s="173"/>
      <c r="L3" s="175"/>
    </row>
    <row r="4" spans="1:22" ht="6" customHeight="1">
      <c r="A4" s="176"/>
      <c r="C4" s="177"/>
      <c r="E4" s="177"/>
      <c r="F4" s="177"/>
      <c r="G4" s="177"/>
      <c r="H4" s="177"/>
      <c r="I4" s="177"/>
      <c r="J4" s="177"/>
      <c r="K4" s="177"/>
      <c r="L4" s="178"/>
    </row>
    <row r="5" spans="1:22" ht="20.100000000000001" customHeight="1">
      <c r="A5" s="179"/>
      <c r="B5" s="180" t="s">
        <v>28</v>
      </c>
      <c r="C5" s="302"/>
      <c r="D5" s="303"/>
      <c r="E5" s="303"/>
      <c r="F5" s="303"/>
      <c r="G5" s="181" t="s">
        <v>97</v>
      </c>
      <c r="H5" s="130"/>
      <c r="I5" s="181" t="s">
        <v>26</v>
      </c>
      <c r="J5" s="304"/>
      <c r="K5" s="305"/>
      <c r="L5" s="306"/>
    </row>
    <row r="6" spans="1:22" ht="20.100000000000001" customHeight="1">
      <c r="A6" s="179"/>
      <c r="B6" s="180" t="s">
        <v>27</v>
      </c>
      <c r="C6" s="307"/>
      <c r="D6" s="307"/>
      <c r="E6" s="307"/>
      <c r="F6" s="307"/>
      <c r="G6" s="181" t="s">
        <v>229</v>
      </c>
      <c r="H6" s="129"/>
      <c r="I6" s="182"/>
      <c r="J6" s="182"/>
      <c r="K6" s="182"/>
      <c r="L6" s="183"/>
    </row>
    <row r="7" spans="1:22" ht="20.100000000000001" customHeight="1">
      <c r="A7" s="179"/>
      <c r="B7" s="180" t="s">
        <v>29</v>
      </c>
      <c r="C7" s="303"/>
      <c r="D7" s="303"/>
      <c r="E7" s="303"/>
      <c r="F7" s="303"/>
      <c r="G7" s="181" t="s">
        <v>100</v>
      </c>
      <c r="H7" s="308"/>
      <c r="I7" s="309"/>
      <c r="J7" s="309"/>
      <c r="K7" s="309"/>
      <c r="L7" s="310"/>
    </row>
    <row r="8" spans="1:22" ht="12.95" customHeight="1">
      <c r="A8" s="176"/>
      <c r="C8" s="177"/>
      <c r="E8" s="177"/>
      <c r="F8" s="177"/>
      <c r="G8" s="177"/>
      <c r="H8" s="177"/>
      <c r="I8" s="177"/>
      <c r="J8" s="177"/>
      <c r="K8" s="177"/>
      <c r="L8" s="178"/>
    </row>
    <row r="9" spans="1:22">
      <c r="A9" s="171" t="s">
        <v>2</v>
      </c>
      <c r="B9" s="172" t="s">
        <v>3</v>
      </c>
      <c r="C9" s="173"/>
      <c r="D9" s="174"/>
      <c r="E9" s="173"/>
      <c r="F9" s="173"/>
      <c r="G9" s="173"/>
      <c r="H9" s="173"/>
      <c r="I9" s="173"/>
      <c r="J9" s="173"/>
      <c r="K9" s="173"/>
      <c r="L9" s="175"/>
    </row>
    <row r="10" spans="1:22" ht="9.9499999999999993" customHeight="1">
      <c r="A10" s="133"/>
      <c r="L10" s="136"/>
    </row>
    <row r="11" spans="1:22" ht="15.75" customHeight="1">
      <c r="A11" s="133"/>
      <c r="B11" s="134" t="s">
        <v>141</v>
      </c>
      <c r="L11" s="136"/>
    </row>
    <row r="12" spans="1:22" ht="15.75" customHeight="1">
      <c r="A12" s="133"/>
      <c r="B12" s="134" t="s">
        <v>142</v>
      </c>
      <c r="C12" s="134" t="s">
        <v>143</v>
      </c>
      <c r="D12" s="131">
        <v>240</v>
      </c>
      <c r="E12" s="134" t="s">
        <v>144</v>
      </c>
      <c r="L12" s="136"/>
    </row>
    <row r="13" spans="1:22" ht="15.75" customHeight="1">
      <c r="A13" s="133"/>
      <c r="B13" s="134" t="s">
        <v>145</v>
      </c>
      <c r="C13" s="134" t="s">
        <v>146</v>
      </c>
      <c r="D13" s="131">
        <v>1000</v>
      </c>
      <c r="E13" s="134" t="s">
        <v>144</v>
      </c>
      <c r="L13" s="136"/>
      <c r="N13" s="163" t="s">
        <v>230</v>
      </c>
      <c r="O13" s="163">
        <v>8</v>
      </c>
      <c r="P13" s="163">
        <v>12</v>
      </c>
      <c r="Q13" s="163">
        <v>16</v>
      </c>
      <c r="R13" s="163">
        <v>20</v>
      </c>
      <c r="S13" s="163">
        <v>25</v>
      </c>
      <c r="T13" s="163">
        <v>32</v>
      </c>
      <c r="V13" s="163" t="s">
        <v>147</v>
      </c>
    </row>
    <row r="14" spans="1:22" ht="19.5" customHeight="1">
      <c r="A14" s="133"/>
      <c r="B14" s="134" t="s">
        <v>338</v>
      </c>
      <c r="C14" s="134" t="s">
        <v>148</v>
      </c>
      <c r="D14" s="131">
        <v>8</v>
      </c>
      <c r="E14" s="134" t="s">
        <v>144</v>
      </c>
      <c r="G14" s="164"/>
      <c r="H14" s="165"/>
      <c r="L14" s="136"/>
      <c r="N14" s="137" t="s">
        <v>149</v>
      </c>
      <c r="O14" s="137">
        <v>50.3</v>
      </c>
      <c r="P14" s="137">
        <v>113</v>
      </c>
      <c r="Q14" s="137">
        <v>201</v>
      </c>
      <c r="R14" s="137">
        <v>314</v>
      </c>
      <c r="S14" s="137">
        <v>491</v>
      </c>
      <c r="T14" s="137">
        <v>804</v>
      </c>
      <c r="V14" s="137">
        <v>337</v>
      </c>
    </row>
    <row r="15" spans="1:22" ht="19.5" customHeight="1">
      <c r="A15" s="133"/>
      <c r="B15" s="134" t="s">
        <v>274</v>
      </c>
      <c r="C15" s="134" t="s">
        <v>275</v>
      </c>
      <c r="D15" s="131">
        <v>3</v>
      </c>
      <c r="E15" s="134" t="s">
        <v>190</v>
      </c>
      <c r="H15" s="165"/>
      <c r="L15" s="136"/>
      <c r="N15" s="166"/>
      <c r="O15" s="166"/>
      <c r="P15" s="166"/>
      <c r="Q15" s="166"/>
      <c r="R15" s="166"/>
      <c r="S15" s="166"/>
      <c r="T15" s="166"/>
      <c r="V15" s="166"/>
    </row>
    <row r="16" spans="1:22" ht="15.75" customHeight="1">
      <c r="A16" s="133"/>
      <c r="B16" s="134" t="s">
        <v>337</v>
      </c>
      <c r="C16" s="134" t="s">
        <v>151</v>
      </c>
      <c r="D16" s="131">
        <v>25</v>
      </c>
      <c r="E16" s="134" t="s">
        <v>144</v>
      </c>
      <c r="G16" s="164"/>
      <c r="L16" s="136"/>
    </row>
    <row r="17" spans="1:22" ht="12.75" customHeight="1">
      <c r="A17" s="133"/>
      <c r="L17" s="136"/>
      <c r="N17" s="134" t="s">
        <v>152</v>
      </c>
    </row>
    <row r="18" spans="1:22" ht="15.75" customHeight="1">
      <c r="A18" s="133"/>
      <c r="B18" s="134" t="s">
        <v>153</v>
      </c>
      <c r="D18" s="132" t="s">
        <v>162</v>
      </c>
      <c r="L18" s="136"/>
      <c r="N18" s="163" t="s">
        <v>153</v>
      </c>
      <c r="O18" s="163" t="s">
        <v>231</v>
      </c>
      <c r="P18" s="163" t="s">
        <v>232</v>
      </c>
      <c r="Q18" s="163" t="s">
        <v>233</v>
      </c>
      <c r="R18" s="163" t="s">
        <v>234</v>
      </c>
      <c r="S18" s="163" t="s">
        <v>235</v>
      </c>
      <c r="T18" s="163" t="s">
        <v>236</v>
      </c>
      <c r="U18" s="163" t="s">
        <v>157</v>
      </c>
      <c r="V18" s="163" t="s">
        <v>158</v>
      </c>
    </row>
    <row r="19" spans="1:22" ht="15.75" customHeight="1">
      <c r="A19" s="133"/>
      <c r="L19" s="136"/>
      <c r="N19" s="137" t="s">
        <v>159</v>
      </c>
      <c r="O19" s="137">
        <v>16</v>
      </c>
      <c r="P19" s="137">
        <v>24</v>
      </c>
      <c r="Q19" s="137">
        <v>1.9</v>
      </c>
      <c r="R19" s="137">
        <v>9.1</v>
      </c>
      <c r="S19" s="137">
        <v>27400</v>
      </c>
      <c r="T19" s="137">
        <v>23400</v>
      </c>
      <c r="U19" s="137">
        <v>50</v>
      </c>
      <c r="V19" s="137">
        <f t="shared" ref="V19:V26" si="0">$I$3/R19</f>
        <v>0</v>
      </c>
    </row>
    <row r="20" spans="1:22" ht="15.75" customHeight="1">
      <c r="A20" s="133"/>
      <c r="B20" s="134" t="s">
        <v>276</v>
      </c>
      <c r="C20" s="134" t="s">
        <v>277</v>
      </c>
      <c r="D20" s="131">
        <v>100</v>
      </c>
      <c r="E20" s="134" t="s">
        <v>178</v>
      </c>
      <c r="L20" s="136"/>
      <c r="N20" s="137" t="s">
        <v>162</v>
      </c>
      <c r="O20" s="137">
        <v>20</v>
      </c>
      <c r="P20" s="137">
        <v>28</v>
      </c>
      <c r="Q20" s="137">
        <v>2.2000000000000002</v>
      </c>
      <c r="R20" s="137">
        <v>11.3</v>
      </c>
      <c r="S20" s="137">
        <v>28800</v>
      </c>
      <c r="T20" s="137">
        <v>24900</v>
      </c>
      <c r="U20" s="137">
        <v>38.4</v>
      </c>
      <c r="V20" s="137">
        <f t="shared" si="0"/>
        <v>0</v>
      </c>
    </row>
    <row r="21" spans="1:22" ht="15.75" customHeight="1">
      <c r="A21" s="133"/>
      <c r="B21" s="134" t="s">
        <v>278</v>
      </c>
      <c r="C21" s="134" t="s">
        <v>279</v>
      </c>
      <c r="D21" s="131">
        <v>0</v>
      </c>
      <c r="E21" s="134" t="s">
        <v>280</v>
      </c>
      <c r="L21" s="136"/>
      <c r="N21" s="137" t="s">
        <v>166</v>
      </c>
      <c r="O21" s="137">
        <v>25</v>
      </c>
      <c r="P21" s="137">
        <v>33</v>
      </c>
      <c r="Q21" s="137">
        <v>2.6</v>
      </c>
      <c r="R21" s="137">
        <v>14.2</v>
      </c>
      <c r="S21" s="137">
        <v>30500</v>
      </c>
      <c r="T21" s="137">
        <v>26700</v>
      </c>
      <c r="U21" s="137">
        <v>30.7</v>
      </c>
      <c r="V21" s="137">
        <f t="shared" si="0"/>
        <v>0</v>
      </c>
    </row>
    <row r="22" spans="1:22" ht="15.75" customHeight="1">
      <c r="A22" s="133"/>
      <c r="D22" s="135"/>
      <c r="L22" s="136"/>
      <c r="N22" s="137" t="s">
        <v>167</v>
      </c>
      <c r="O22" s="137">
        <v>30</v>
      </c>
      <c r="P22" s="137">
        <v>38</v>
      </c>
      <c r="Q22" s="137">
        <v>2.9</v>
      </c>
      <c r="R22" s="137">
        <v>17</v>
      </c>
      <c r="S22" s="137">
        <v>31900</v>
      </c>
      <c r="T22" s="137">
        <v>28300</v>
      </c>
      <c r="U22" s="137">
        <v>25.6</v>
      </c>
      <c r="V22" s="137">
        <f t="shared" si="0"/>
        <v>0</v>
      </c>
    </row>
    <row r="23" spans="1:22" ht="15.75" customHeight="1">
      <c r="A23" s="133"/>
      <c r="B23" s="134" t="s">
        <v>160</v>
      </c>
      <c r="C23" s="134" t="s">
        <v>161</v>
      </c>
      <c r="D23" s="138">
        <f>D12-D16-D14/2</f>
        <v>211</v>
      </c>
      <c r="E23" s="134" t="s">
        <v>144</v>
      </c>
      <c r="L23" s="136"/>
      <c r="N23" s="137" t="s">
        <v>154</v>
      </c>
      <c r="O23" s="137">
        <v>35</v>
      </c>
      <c r="P23" s="137">
        <v>43</v>
      </c>
      <c r="Q23" s="137">
        <v>3.2</v>
      </c>
      <c r="R23" s="137">
        <v>19.8</v>
      </c>
      <c r="S23" s="137">
        <v>33300</v>
      </c>
      <c r="T23" s="137">
        <v>29900</v>
      </c>
      <c r="U23" s="137">
        <v>21.9</v>
      </c>
      <c r="V23" s="137">
        <f t="shared" si="0"/>
        <v>0</v>
      </c>
    </row>
    <row r="24" spans="1:22" ht="15.75" customHeight="1">
      <c r="A24" s="133"/>
      <c r="B24" s="134" t="s">
        <v>163</v>
      </c>
      <c r="C24" s="134" t="s">
        <v>281</v>
      </c>
      <c r="D24" s="138">
        <f>+D12/2-D16-0.5*D14</f>
        <v>91</v>
      </c>
      <c r="E24" s="134" t="s">
        <v>144</v>
      </c>
      <c r="F24" s="139" t="s">
        <v>282</v>
      </c>
      <c r="L24" s="136"/>
      <c r="N24" s="137" t="s">
        <v>172</v>
      </c>
      <c r="O24" s="137">
        <v>40</v>
      </c>
      <c r="P24" s="137">
        <v>48</v>
      </c>
      <c r="Q24" s="137">
        <v>3.5</v>
      </c>
      <c r="R24" s="137">
        <v>22.7</v>
      </c>
      <c r="S24" s="137">
        <v>34500</v>
      </c>
      <c r="T24" s="137">
        <v>31400</v>
      </c>
      <c r="U24" s="137">
        <v>19.2</v>
      </c>
      <c r="V24" s="137">
        <f t="shared" si="0"/>
        <v>0</v>
      </c>
    </row>
    <row r="25" spans="1:22" ht="15.75" customHeight="1">
      <c r="A25" s="133"/>
      <c r="L25" s="136"/>
      <c r="N25" s="137" t="s">
        <v>173</v>
      </c>
      <c r="O25" s="137">
        <v>45</v>
      </c>
      <c r="P25" s="137">
        <v>53</v>
      </c>
      <c r="Q25" s="137">
        <v>3.8</v>
      </c>
      <c r="R25" s="137">
        <v>25.5</v>
      </c>
      <c r="S25" s="137">
        <v>35700</v>
      </c>
      <c r="T25" s="137">
        <v>32800</v>
      </c>
      <c r="U25" s="137">
        <v>17.100000000000001</v>
      </c>
      <c r="V25" s="137">
        <f t="shared" si="0"/>
        <v>0</v>
      </c>
    </row>
    <row r="26" spans="1:22" ht="15.75" customHeight="1">
      <c r="A26" s="133"/>
      <c r="B26" s="134" t="s">
        <v>283</v>
      </c>
      <c r="C26" s="134" t="s">
        <v>284</v>
      </c>
      <c r="D26" s="140">
        <f>+D20-D21*(D24/1000)</f>
        <v>100</v>
      </c>
      <c r="E26" s="134" t="s">
        <v>178</v>
      </c>
      <c r="L26" s="136"/>
      <c r="N26" s="137" t="s">
        <v>176</v>
      </c>
      <c r="O26" s="137">
        <v>50</v>
      </c>
      <c r="P26" s="137">
        <v>58</v>
      </c>
      <c r="Q26" s="137">
        <v>4.0999999999999996</v>
      </c>
      <c r="R26" s="137">
        <v>28.3</v>
      </c>
      <c r="S26" s="137">
        <v>36800</v>
      </c>
      <c r="T26" s="137">
        <v>34300</v>
      </c>
      <c r="U26" s="137">
        <v>15.3</v>
      </c>
      <c r="V26" s="137">
        <f t="shared" si="0"/>
        <v>0</v>
      </c>
    </row>
    <row r="27" spans="1:22" ht="15.75" customHeight="1">
      <c r="A27" s="133"/>
      <c r="B27" s="134" t="s">
        <v>285</v>
      </c>
      <c r="C27" s="134" t="s">
        <v>286</v>
      </c>
      <c r="D27" s="141">
        <f>+(10^6*D26)/(D13*D23^2*VLOOKUP(D18,N19:V26,5,FALSE))</f>
        <v>0.1987726583437904</v>
      </c>
      <c r="E27" s="134" t="s">
        <v>190</v>
      </c>
      <c r="L27" s="136"/>
    </row>
    <row r="28" spans="1:22" ht="15.75" customHeight="1">
      <c r="A28" s="133"/>
      <c r="B28" s="134" t="s">
        <v>287</v>
      </c>
      <c r="C28" s="142" t="s">
        <v>288</v>
      </c>
      <c r="D28" s="184">
        <f>+IFERROR(IF(B36=D27,B38,(MAX(F38,B38)-MIN(F38,B38))/(MAX(F36,B36)-MIN(F36,B36))*D27+(MIN(B38,F38)-((MAX(F38,B38)-MIN(B38,F38))/(MAX(B36,F36)-MIN(F36,B36))*MIN(B36,F36)))),"μ zu klein/groß!")</f>
        <v>0.22540445584692753</v>
      </c>
      <c r="E28" s="134" t="s">
        <v>190</v>
      </c>
      <c r="L28" s="136"/>
    </row>
    <row r="29" spans="1:22" ht="15.75" customHeight="1">
      <c r="A29" s="133"/>
      <c r="L29" s="136"/>
      <c r="N29" s="143" t="s">
        <v>155</v>
      </c>
      <c r="O29" s="134" t="s">
        <v>181</v>
      </c>
    </row>
    <row r="30" spans="1:22" ht="15.75" customHeight="1">
      <c r="A30" s="133"/>
      <c r="L30" s="136"/>
      <c r="N30" s="143" t="s">
        <v>156</v>
      </c>
      <c r="O30" s="134" t="s">
        <v>182</v>
      </c>
    </row>
    <row r="31" spans="1:22" ht="15.75" customHeight="1">
      <c r="A31" s="133"/>
      <c r="B31" s="134" t="s">
        <v>289</v>
      </c>
      <c r="C31" s="144" t="s">
        <v>290</v>
      </c>
      <c r="D31" s="185">
        <f>IFERROR(((D28*D13*D23*VLOOKUP(D18,N19:V26,5,FALSE)+D21*1000)/445)/100,"Nicht möglich")</f>
        <v>12.077120091591672</v>
      </c>
      <c r="E31" s="134" t="s">
        <v>309</v>
      </c>
      <c r="F31" s="146" t="s">
        <v>57</v>
      </c>
      <c r="G31" s="144" t="s">
        <v>291</v>
      </c>
      <c r="H31" s="145">
        <f>+(D14/2)^2*PI()*D15</f>
        <v>150.79644737231007</v>
      </c>
      <c r="I31" s="134" t="s">
        <v>184</v>
      </c>
      <c r="J31" s="147" t="str">
        <f>+IF(H31&lt;D31,"!","✓")</f>
        <v>✓</v>
      </c>
      <c r="L31" s="136"/>
    </row>
    <row r="32" spans="1:22">
      <c r="A32" s="148"/>
      <c r="B32" s="149"/>
      <c r="C32" s="149"/>
      <c r="D32" s="149"/>
      <c r="E32" s="149"/>
      <c r="F32" s="149"/>
      <c r="G32" s="149"/>
      <c r="H32" s="149"/>
      <c r="I32" s="149"/>
      <c r="J32" s="149"/>
      <c r="K32" s="149"/>
      <c r="L32" s="150"/>
    </row>
    <row r="33" spans="2:22">
      <c r="N33" s="134" t="s">
        <v>292</v>
      </c>
    </row>
    <row r="34" spans="2:22" ht="15">
      <c r="N34" s="151" t="s">
        <v>293</v>
      </c>
      <c r="O34" s="151" t="s">
        <v>294</v>
      </c>
      <c r="P34" s="152" t="s">
        <v>295</v>
      </c>
      <c r="Q34" s="152" t="s">
        <v>296</v>
      </c>
      <c r="R34" s="151" t="s">
        <v>297</v>
      </c>
      <c r="S34" s="151" t="s">
        <v>298</v>
      </c>
      <c r="T34" s="151" t="s">
        <v>299</v>
      </c>
      <c r="U34" s="151" t="s">
        <v>293</v>
      </c>
    </row>
    <row r="35" spans="2:22">
      <c r="B35" s="153" t="s">
        <v>300</v>
      </c>
      <c r="C35" s="153"/>
      <c r="D35" s="153"/>
      <c r="E35" s="154" t="s">
        <v>301</v>
      </c>
      <c r="F35" s="153" t="s">
        <v>302</v>
      </c>
      <c r="G35" s="155"/>
      <c r="H35" s="155"/>
      <c r="N35" s="156">
        <v>1E-3</v>
      </c>
      <c r="O35" s="157">
        <v>1E-3</v>
      </c>
      <c r="P35" s="156">
        <v>1.7000000000000001E-2</v>
      </c>
      <c r="Q35" s="156">
        <v>0.99399999999999999</v>
      </c>
      <c r="R35" s="156">
        <v>-0.123</v>
      </c>
      <c r="S35" s="156">
        <v>7.25</v>
      </c>
      <c r="T35" s="158">
        <v>435</v>
      </c>
      <c r="U35" s="156">
        <v>1E-3</v>
      </c>
      <c r="V35" s="155">
        <v>1</v>
      </c>
    </row>
    <row r="36" spans="2:22">
      <c r="B36" s="159" cm="1">
        <f t="array" ref="B36">INDEX(N35:N105,MATCH(MIN(ABS(N35:N105-D27)),ABS(N35:N105-D27),0))</f>
        <v>0.2</v>
      </c>
      <c r="C36" s="153">
        <f>+VLOOKUP(B36,N34:V105,9,FALSE)</f>
        <v>51</v>
      </c>
      <c r="D36" s="160">
        <f>+D27-B36</f>
        <v>-1.2273416562096073E-3</v>
      </c>
      <c r="E36" s="153" t="str">
        <f>+IF(D36&gt;0,"oberhalb","unterhalb")</f>
        <v>unterhalb</v>
      </c>
      <c r="F36" s="153">
        <f>+(IF(D36=0,0,IF(D36&gt;0,_xlfn.XLOOKUP(C36+1,V34:V105,N34:N105),_xlfn.XLOOKUP(C36-1,V34:V105,N34:N105))))</f>
        <v>0.19</v>
      </c>
      <c r="G36" s="155"/>
      <c r="H36" s="155"/>
      <c r="N36" s="156">
        <v>2E-3</v>
      </c>
      <c r="O36" s="157">
        <v>2E-3</v>
      </c>
      <c r="P36" s="156">
        <v>2.4E-2</v>
      </c>
      <c r="Q36" s="156">
        <v>0.99199999999999999</v>
      </c>
      <c r="R36" s="156">
        <v>-0.17499999999999999</v>
      </c>
      <c r="S36" s="156">
        <v>7.25</v>
      </c>
      <c r="T36" s="158">
        <v>435</v>
      </c>
      <c r="U36" s="156">
        <v>2E-3</v>
      </c>
      <c r="V36" s="155">
        <v>2</v>
      </c>
    </row>
    <row r="37" spans="2:22">
      <c r="B37" s="153" t="s">
        <v>303</v>
      </c>
      <c r="C37" s="153"/>
      <c r="D37" s="153"/>
      <c r="E37" s="153"/>
      <c r="F37" s="153" t="s">
        <v>304</v>
      </c>
      <c r="G37" s="155"/>
      <c r="H37" s="155"/>
      <c r="N37" s="156">
        <v>3.0000000000000001E-3</v>
      </c>
      <c r="O37" s="157">
        <v>3.0000000000000001E-3</v>
      </c>
      <c r="P37" s="156">
        <v>2.9000000000000001E-2</v>
      </c>
      <c r="Q37" s="156">
        <v>0.99</v>
      </c>
      <c r="R37" s="156">
        <v>-0.217</v>
      </c>
      <c r="S37" s="156">
        <v>7.25</v>
      </c>
      <c r="T37" s="158">
        <v>435</v>
      </c>
      <c r="U37" s="156">
        <v>3.0000000000000001E-3</v>
      </c>
      <c r="V37" s="155">
        <v>3</v>
      </c>
    </row>
    <row r="38" spans="2:22">
      <c r="B38" s="161">
        <f>+_xlfn.XLOOKUP(C36,V34:V105,O34:O105)</f>
        <v>0.22700000000000001</v>
      </c>
      <c r="C38" s="155" t="s">
        <v>305</v>
      </c>
      <c r="D38" s="153"/>
      <c r="E38" s="153"/>
      <c r="F38" s="161">
        <f>(IF(D36=0,0,IF(D36&gt;0,_xlfn.XLOOKUP(C36+1,V34:V105,O34:O105),_xlfn.XLOOKUP(C36-1,V34:V105,O34:O105))))</f>
        <v>0.214</v>
      </c>
      <c r="G38" s="155" t="s">
        <v>306</v>
      </c>
      <c r="H38" s="155"/>
      <c r="N38" s="156">
        <v>4.0000000000000001E-3</v>
      </c>
      <c r="O38" s="157">
        <v>4.1000000000000003E-3</v>
      </c>
      <c r="P38" s="156">
        <v>3.4000000000000002E-2</v>
      </c>
      <c r="Q38" s="156">
        <v>0.98899999999999999</v>
      </c>
      <c r="R38" s="156">
        <v>-0.252</v>
      </c>
      <c r="S38" s="156">
        <v>7.25</v>
      </c>
      <c r="T38" s="158">
        <v>435</v>
      </c>
      <c r="U38" s="156">
        <v>4.0000000000000001E-3</v>
      </c>
      <c r="V38" s="155">
        <v>4</v>
      </c>
    </row>
    <row r="39" spans="2:22">
      <c r="B39" s="155"/>
      <c r="C39" s="155"/>
      <c r="D39" s="155"/>
      <c r="E39" s="155"/>
      <c r="F39" s="155"/>
      <c r="G39" s="155"/>
      <c r="H39" s="155"/>
      <c r="N39" s="156">
        <v>5.0000000000000001E-3</v>
      </c>
      <c r="O39" s="157">
        <v>5.1000000000000004E-3</v>
      </c>
      <c r="P39" s="156">
        <v>3.7999999999999999E-2</v>
      </c>
      <c r="Q39" s="156">
        <v>0.98699999999999999</v>
      </c>
      <c r="R39" s="156">
        <v>-0.28299999999999997</v>
      </c>
      <c r="S39" s="156">
        <v>7.25</v>
      </c>
      <c r="T39" s="158">
        <v>435</v>
      </c>
      <c r="U39" s="156">
        <v>5.0000000000000001E-3</v>
      </c>
      <c r="V39" s="155">
        <v>5</v>
      </c>
    </row>
    <row r="40" spans="2:22">
      <c r="B40" s="155" t="s">
        <v>307</v>
      </c>
      <c r="C40" s="155"/>
      <c r="D40" s="162">
        <f>+VLOOKUP(D27,N34:U105,2,TRUE)</f>
        <v>0.214</v>
      </c>
      <c r="E40" s="155"/>
      <c r="F40" s="155"/>
      <c r="G40" s="155"/>
      <c r="H40" s="155"/>
      <c r="N40" s="156">
        <v>6.0000000000000001E-3</v>
      </c>
      <c r="O40" s="157">
        <v>6.1000000000000004E-3</v>
      </c>
      <c r="P40" s="156">
        <v>4.1000000000000002E-2</v>
      </c>
      <c r="Q40" s="156">
        <v>0.98599999999999999</v>
      </c>
      <c r="R40" s="156">
        <v>-0.311</v>
      </c>
      <c r="S40" s="156">
        <v>7.25</v>
      </c>
      <c r="T40" s="158">
        <v>435</v>
      </c>
      <c r="U40" s="156">
        <v>6.0000000000000001E-3</v>
      </c>
      <c r="V40" s="155">
        <v>6</v>
      </c>
    </row>
    <row r="41" spans="2:22">
      <c r="B41" s="155"/>
      <c r="C41" s="155"/>
      <c r="D41" s="155" t="s">
        <v>308</v>
      </c>
      <c r="E41" s="155"/>
      <c r="F41" s="155"/>
      <c r="G41" s="155"/>
      <c r="H41" s="155"/>
      <c r="N41" s="156">
        <v>7.0000000000000001E-3</v>
      </c>
      <c r="O41" s="157">
        <v>7.1000000000000004E-3</v>
      </c>
      <c r="P41" s="156">
        <v>4.4999999999999998E-2</v>
      </c>
      <c r="Q41" s="156">
        <v>0.98499999999999999</v>
      </c>
      <c r="R41" s="156">
        <v>-0.33800000000000002</v>
      </c>
      <c r="S41" s="156">
        <v>7.25</v>
      </c>
      <c r="T41" s="158">
        <v>435</v>
      </c>
      <c r="U41" s="156">
        <v>7.0000000000000001E-3</v>
      </c>
      <c r="V41" s="155">
        <v>7</v>
      </c>
    </row>
    <row r="42" spans="2:22">
      <c r="B42" s="155"/>
      <c r="C42" s="155"/>
      <c r="D42" s="155"/>
      <c r="E42" s="155"/>
      <c r="F42" s="155"/>
      <c r="G42" s="155"/>
      <c r="H42" s="155"/>
      <c r="N42" s="156">
        <v>8.0000000000000002E-3</v>
      </c>
      <c r="O42" s="157">
        <v>8.0999999999999996E-3</v>
      </c>
      <c r="P42" s="156">
        <v>4.8000000000000001E-2</v>
      </c>
      <c r="Q42" s="156">
        <v>0.98399999999999999</v>
      </c>
      <c r="R42" s="156">
        <v>-0.36299999999999999</v>
      </c>
      <c r="S42" s="156">
        <v>7.25</v>
      </c>
      <c r="T42" s="158">
        <v>435</v>
      </c>
      <c r="U42" s="156">
        <v>8.0000000000000002E-3</v>
      </c>
      <c r="V42" s="155">
        <v>8</v>
      </c>
    </row>
    <row r="43" spans="2:22">
      <c r="N43" s="156">
        <v>8.9999999999999993E-3</v>
      </c>
      <c r="O43" s="157">
        <v>9.1999999999999998E-3</v>
      </c>
      <c r="P43" s="156">
        <v>5.0999999999999997E-2</v>
      </c>
      <c r="Q43" s="156">
        <v>0.98299999999999998</v>
      </c>
      <c r="R43" s="156">
        <v>-0.38700000000000001</v>
      </c>
      <c r="S43" s="156">
        <v>7.25</v>
      </c>
      <c r="T43" s="158">
        <v>435</v>
      </c>
      <c r="U43" s="156">
        <v>8.9999999999999993E-3</v>
      </c>
      <c r="V43" s="155">
        <v>9</v>
      </c>
    </row>
    <row r="44" spans="2:22">
      <c r="N44" s="156">
        <v>0.01</v>
      </c>
      <c r="O44" s="157">
        <v>1.0200000000000001E-2</v>
      </c>
      <c r="P44" s="156">
        <v>5.2999999999999999E-2</v>
      </c>
      <c r="Q44" s="156">
        <v>0.98199999999999998</v>
      </c>
      <c r="R44" s="156">
        <v>-0.40899999999999997</v>
      </c>
      <c r="S44" s="156">
        <v>7.25</v>
      </c>
      <c r="T44" s="158">
        <v>435</v>
      </c>
      <c r="U44" s="156">
        <v>0.01</v>
      </c>
      <c r="V44" s="155">
        <v>10</v>
      </c>
    </row>
    <row r="45" spans="2:22">
      <c r="N45" s="156">
        <v>1.0999999999999999E-2</v>
      </c>
      <c r="O45" s="157">
        <v>1.12E-2</v>
      </c>
      <c r="P45" s="156">
        <v>5.6000000000000001E-2</v>
      </c>
      <c r="Q45" s="156">
        <v>0.98099999999999998</v>
      </c>
      <c r="R45" s="156">
        <v>-0.43099999999999999</v>
      </c>
      <c r="S45" s="156">
        <v>7.25</v>
      </c>
      <c r="T45" s="158">
        <v>435</v>
      </c>
      <c r="U45" s="156">
        <v>1.0999999999999999E-2</v>
      </c>
      <c r="V45" s="155">
        <v>11</v>
      </c>
    </row>
    <row r="46" spans="2:22">
      <c r="N46" s="156">
        <v>1.2E-2</v>
      </c>
      <c r="O46" s="157">
        <v>1.2200000000000001E-2</v>
      </c>
      <c r="P46" s="156">
        <v>5.8999999999999997E-2</v>
      </c>
      <c r="Q46" s="156">
        <v>0.98</v>
      </c>
      <c r="R46" s="156">
        <v>-0.45200000000000001</v>
      </c>
      <c r="S46" s="156">
        <v>7.25</v>
      </c>
      <c r="T46" s="158">
        <v>435</v>
      </c>
      <c r="U46" s="156">
        <v>1.2E-2</v>
      </c>
      <c r="V46" s="155">
        <v>12</v>
      </c>
    </row>
    <row r="47" spans="2:22">
      <c r="N47" s="156">
        <v>1.2999999999999999E-2</v>
      </c>
      <c r="O47" s="157">
        <v>1.3299999999999999E-2</v>
      </c>
      <c r="P47" s="156">
        <v>6.0999999999999999E-2</v>
      </c>
      <c r="Q47" s="156">
        <v>0.97899999999999998</v>
      </c>
      <c r="R47" s="156">
        <v>-0.47199999999999998</v>
      </c>
      <c r="S47" s="156">
        <v>7.25</v>
      </c>
      <c r="T47" s="158">
        <v>435</v>
      </c>
      <c r="U47" s="156">
        <v>1.2999999999999999E-2</v>
      </c>
      <c r="V47" s="155">
        <v>13</v>
      </c>
    </row>
    <row r="48" spans="2:22">
      <c r="N48" s="156">
        <v>1.4E-2</v>
      </c>
      <c r="O48" s="157">
        <v>1.43E-2</v>
      </c>
      <c r="P48" s="156">
        <v>6.3E-2</v>
      </c>
      <c r="Q48" s="156">
        <v>0.97799999999999998</v>
      </c>
      <c r="R48" s="156">
        <v>-0.49099999999999999</v>
      </c>
      <c r="S48" s="156">
        <v>7.25</v>
      </c>
      <c r="T48" s="158">
        <v>435</v>
      </c>
      <c r="U48" s="156">
        <v>1.4E-2</v>
      </c>
      <c r="V48" s="155">
        <v>14</v>
      </c>
    </row>
    <row r="49" spans="14:22">
      <c r="N49" s="156">
        <v>1.4999999999999999E-2</v>
      </c>
      <c r="O49" s="157">
        <v>1.5299999999999999E-2</v>
      </c>
      <c r="P49" s="156">
        <v>6.6000000000000003E-2</v>
      </c>
      <c r="Q49" s="156">
        <v>0.97799999999999998</v>
      </c>
      <c r="R49" s="156">
        <v>-0.51</v>
      </c>
      <c r="S49" s="156">
        <v>7.25</v>
      </c>
      <c r="T49" s="158">
        <v>435</v>
      </c>
      <c r="U49" s="156">
        <v>1.4999999999999999E-2</v>
      </c>
      <c r="V49" s="155">
        <v>15</v>
      </c>
    </row>
    <row r="50" spans="14:22">
      <c r="N50" s="156">
        <v>1.6E-2</v>
      </c>
      <c r="O50" s="157">
        <v>1.6400000000000001E-2</v>
      </c>
      <c r="P50" s="156">
        <v>6.8000000000000005E-2</v>
      </c>
      <c r="Q50" s="156">
        <v>0.97699999999999998</v>
      </c>
      <c r="R50" s="156">
        <v>-0.52900000000000003</v>
      </c>
      <c r="S50" s="156">
        <v>7.25</v>
      </c>
      <c r="T50" s="158">
        <v>435</v>
      </c>
      <c r="U50" s="156">
        <v>1.6E-2</v>
      </c>
      <c r="V50" s="155">
        <v>16</v>
      </c>
    </row>
    <row r="51" spans="14:22">
      <c r="N51" s="156">
        <v>1.7000000000000001E-2</v>
      </c>
      <c r="O51" s="157">
        <v>1.7399999999999999E-2</v>
      </c>
      <c r="P51" s="156">
        <v>7.0000000000000007E-2</v>
      </c>
      <c r="Q51" s="156">
        <v>0.97599999999999998</v>
      </c>
      <c r="R51" s="156">
        <v>-0.54700000000000004</v>
      </c>
      <c r="S51" s="156">
        <v>7.25</v>
      </c>
      <c r="T51" s="158">
        <v>435</v>
      </c>
      <c r="U51" s="156">
        <v>1.7000000000000001E-2</v>
      </c>
      <c r="V51" s="155">
        <v>17</v>
      </c>
    </row>
    <row r="52" spans="14:22">
      <c r="N52" s="156">
        <v>1.7999999999999999E-2</v>
      </c>
      <c r="O52" s="157">
        <v>1.84E-2</v>
      </c>
      <c r="P52" s="156">
        <v>7.1999999999999995E-2</v>
      </c>
      <c r="Q52" s="156">
        <v>0.97499999999999998</v>
      </c>
      <c r="R52" s="156">
        <v>-0.56399999999999995</v>
      </c>
      <c r="S52" s="156">
        <v>7.25</v>
      </c>
      <c r="T52" s="158">
        <v>435</v>
      </c>
      <c r="U52" s="156">
        <v>1.7999999999999999E-2</v>
      </c>
      <c r="V52" s="155">
        <v>18</v>
      </c>
    </row>
    <row r="53" spans="14:22">
      <c r="N53" s="156">
        <v>1.9E-2</v>
      </c>
      <c r="O53" s="157">
        <v>1.95E-2</v>
      </c>
      <c r="P53" s="156">
        <v>7.3999999999999996E-2</v>
      </c>
      <c r="Q53" s="156">
        <v>0.97499999999999998</v>
      </c>
      <c r="R53" s="156">
        <v>-0.58199999999999996</v>
      </c>
      <c r="S53" s="156">
        <v>7.25</v>
      </c>
      <c r="T53" s="158">
        <v>435</v>
      </c>
      <c r="U53" s="156">
        <v>1.9E-2</v>
      </c>
      <c r="V53" s="155">
        <v>19</v>
      </c>
    </row>
    <row r="54" spans="14:22">
      <c r="N54" s="156">
        <v>0.02</v>
      </c>
      <c r="O54" s="157">
        <v>2.0500000000000001E-2</v>
      </c>
      <c r="P54" s="156">
        <v>7.5999999999999998E-2</v>
      </c>
      <c r="Q54" s="156">
        <v>0.97399999999999998</v>
      </c>
      <c r="R54" s="156">
        <v>-0.59799999999999998</v>
      </c>
      <c r="S54" s="156">
        <v>7.25</v>
      </c>
      <c r="T54" s="158">
        <v>435</v>
      </c>
      <c r="U54" s="156">
        <v>0.02</v>
      </c>
      <c r="V54" s="155">
        <v>20</v>
      </c>
    </row>
    <row r="55" spans="14:22">
      <c r="N55" s="156">
        <v>2.5000000000000001E-2</v>
      </c>
      <c r="O55" s="157">
        <v>2.58E-2</v>
      </c>
      <c r="P55" s="156">
        <v>8.5999999999999993E-2</v>
      </c>
      <c r="Q55" s="156">
        <v>0.97099999999999997</v>
      </c>
      <c r="R55" s="156">
        <v>-0.67900000000000005</v>
      </c>
      <c r="S55" s="156">
        <v>7.25</v>
      </c>
      <c r="T55" s="158">
        <v>435</v>
      </c>
      <c r="U55" s="156">
        <v>2.5000000000000001E-2</v>
      </c>
      <c r="V55" s="155">
        <v>21</v>
      </c>
    </row>
    <row r="56" spans="14:22">
      <c r="N56" s="156">
        <v>0.03</v>
      </c>
      <c r="O56" s="157">
        <v>3.1E-2</v>
      </c>
      <c r="P56" s="156">
        <v>9.4E-2</v>
      </c>
      <c r="Q56" s="156">
        <v>0.96699999999999997</v>
      </c>
      <c r="R56" s="156">
        <v>-0.753</v>
      </c>
      <c r="S56" s="156">
        <v>7.25</v>
      </c>
      <c r="T56" s="158">
        <v>435</v>
      </c>
      <c r="U56" s="156">
        <v>0.03</v>
      </c>
      <c r="V56" s="155">
        <v>22</v>
      </c>
    </row>
    <row r="57" spans="14:22">
      <c r="N57" s="156">
        <v>3.5000000000000003E-2</v>
      </c>
      <c r="O57" s="157">
        <v>3.6299999999999999E-2</v>
      </c>
      <c r="P57" s="156">
        <v>0.10199999999999999</v>
      </c>
      <c r="Q57" s="156">
        <v>0.96499999999999997</v>
      </c>
      <c r="R57" s="156">
        <v>-0.82399999999999995</v>
      </c>
      <c r="S57" s="156">
        <v>7.25</v>
      </c>
      <c r="T57" s="158">
        <v>435</v>
      </c>
      <c r="U57" s="156">
        <v>3.5000000000000003E-2</v>
      </c>
      <c r="V57" s="155">
        <v>23</v>
      </c>
    </row>
    <row r="58" spans="14:22">
      <c r="N58" s="156">
        <v>0.04</v>
      </c>
      <c r="O58" s="157">
        <v>4.1599999999999998E-2</v>
      </c>
      <c r="P58" s="156">
        <v>0.11</v>
      </c>
      <c r="Q58" s="156">
        <v>0.96199999999999997</v>
      </c>
      <c r="R58" s="156">
        <v>-0.89200000000000002</v>
      </c>
      <c r="S58" s="156">
        <v>7.25</v>
      </c>
      <c r="T58" s="158">
        <v>435</v>
      </c>
      <c r="U58" s="156">
        <v>0.04</v>
      </c>
      <c r="V58" s="155">
        <v>24</v>
      </c>
    </row>
    <row r="59" spans="14:22">
      <c r="N59" s="156">
        <v>4.4999999999999998E-2</v>
      </c>
      <c r="O59" s="157">
        <v>4.6899999999999997E-2</v>
      </c>
      <c r="P59" s="156">
        <v>0.11700000000000001</v>
      </c>
      <c r="Q59" s="156">
        <v>0.95899999999999996</v>
      </c>
      <c r="R59" s="156">
        <v>-0.95699999999999996</v>
      </c>
      <c r="S59" s="156">
        <v>7.25</v>
      </c>
      <c r="T59" s="158">
        <v>435</v>
      </c>
      <c r="U59" s="156">
        <v>4.4999999999999998E-2</v>
      </c>
      <c r="V59" s="155">
        <v>25</v>
      </c>
    </row>
    <row r="60" spans="14:22">
      <c r="N60" s="156">
        <v>0.05</v>
      </c>
      <c r="O60" s="157">
        <v>5.2299999999999999E-2</v>
      </c>
      <c r="P60" s="156">
        <v>0.123</v>
      </c>
      <c r="Q60" s="156">
        <v>0.95699999999999996</v>
      </c>
      <c r="R60" s="156">
        <v>-1.0209999999999999</v>
      </c>
      <c r="S60" s="156">
        <v>7.25</v>
      </c>
      <c r="T60" s="158">
        <v>435</v>
      </c>
      <c r="U60" s="156">
        <v>0.05</v>
      </c>
      <c r="V60" s="155">
        <v>26</v>
      </c>
    </row>
    <row r="61" spans="14:22">
      <c r="N61" s="156">
        <v>5.5E-2</v>
      </c>
      <c r="O61" s="157">
        <v>5.7599999999999998E-2</v>
      </c>
      <c r="P61" s="156">
        <v>0.13</v>
      </c>
      <c r="Q61" s="156">
        <v>0.95399999999999996</v>
      </c>
      <c r="R61" s="156">
        <v>-1.083</v>
      </c>
      <c r="S61" s="156">
        <v>7.25</v>
      </c>
      <c r="T61" s="158">
        <v>435</v>
      </c>
      <c r="U61" s="156">
        <v>5.5E-2</v>
      </c>
      <c r="V61" s="155">
        <v>27</v>
      </c>
    </row>
    <row r="62" spans="14:22">
      <c r="N62" s="156">
        <v>0.06</v>
      </c>
      <c r="O62" s="157">
        <v>6.3E-2</v>
      </c>
      <c r="P62" s="156">
        <v>0.13600000000000001</v>
      </c>
      <c r="Q62" s="156">
        <v>0.95199999999999996</v>
      </c>
      <c r="R62" s="156">
        <v>-1.143</v>
      </c>
      <c r="S62" s="156">
        <v>7.25</v>
      </c>
      <c r="T62" s="158">
        <v>435</v>
      </c>
      <c r="U62" s="156">
        <v>0.06</v>
      </c>
      <c r="V62" s="155">
        <v>28</v>
      </c>
    </row>
    <row r="63" spans="14:22">
      <c r="N63" s="156">
        <v>6.5000000000000002E-2</v>
      </c>
      <c r="O63" s="157">
        <v>6.8400000000000002E-2</v>
      </c>
      <c r="P63" s="156">
        <v>0.14199999999999999</v>
      </c>
      <c r="Q63" s="156">
        <v>0.95</v>
      </c>
      <c r="R63" s="156">
        <v>-1.2030000000000001</v>
      </c>
      <c r="S63" s="156">
        <v>7.25</v>
      </c>
      <c r="T63" s="158">
        <v>435</v>
      </c>
      <c r="U63" s="156">
        <v>6.5000000000000002E-2</v>
      </c>
      <c r="V63" s="155">
        <v>29</v>
      </c>
    </row>
    <row r="64" spans="14:22">
      <c r="N64" s="156">
        <v>7.0000000000000007E-2</v>
      </c>
      <c r="O64" s="157">
        <v>7.3899999999999993E-2</v>
      </c>
      <c r="P64" s="156">
        <v>0.14799999999999999</v>
      </c>
      <c r="Q64" s="156">
        <v>0.94699999999999995</v>
      </c>
      <c r="R64" s="156">
        <v>-1.262</v>
      </c>
      <c r="S64" s="156">
        <v>7.25</v>
      </c>
      <c r="T64" s="158">
        <v>435</v>
      </c>
      <c r="U64" s="156">
        <v>7.0000000000000007E-2</v>
      </c>
      <c r="V64" s="155">
        <v>30</v>
      </c>
    </row>
    <row r="65" spans="14:22">
      <c r="N65" s="156">
        <v>7.4999999999999997E-2</v>
      </c>
      <c r="O65" s="157">
        <v>7.9399999999999998E-2</v>
      </c>
      <c r="P65" s="156">
        <v>0.154</v>
      </c>
      <c r="Q65" s="156">
        <v>0.94499999999999995</v>
      </c>
      <c r="R65" s="156">
        <v>-1.321</v>
      </c>
      <c r="S65" s="156">
        <v>7.25</v>
      </c>
      <c r="T65" s="158">
        <v>435</v>
      </c>
      <c r="U65" s="156">
        <v>7.4999999999999997E-2</v>
      </c>
      <c r="V65" s="155">
        <v>31</v>
      </c>
    </row>
    <row r="66" spans="14:22">
      <c r="N66" s="156">
        <v>0.08</v>
      </c>
      <c r="O66" s="157">
        <v>8.4900000000000003E-2</v>
      </c>
      <c r="P66" s="156">
        <v>0.16</v>
      </c>
      <c r="Q66" s="156">
        <v>0.94299999999999995</v>
      </c>
      <c r="R66" s="156">
        <v>-1.379</v>
      </c>
      <c r="S66" s="156">
        <v>7.25</v>
      </c>
      <c r="T66" s="158">
        <v>435</v>
      </c>
      <c r="U66" s="156">
        <v>0.08</v>
      </c>
      <c r="V66" s="155">
        <v>32</v>
      </c>
    </row>
    <row r="67" spans="14:22">
      <c r="N67" s="156">
        <v>8.5000000000000006E-2</v>
      </c>
      <c r="O67" s="157">
        <v>9.0399999999999994E-2</v>
      </c>
      <c r="P67" s="156">
        <v>0.16500000000000001</v>
      </c>
      <c r="Q67" s="156">
        <v>0.94099999999999995</v>
      </c>
      <c r="R67" s="156">
        <v>-1.4370000000000001</v>
      </c>
      <c r="S67" s="156">
        <v>7.25</v>
      </c>
      <c r="T67" s="158">
        <v>435</v>
      </c>
      <c r="U67" s="156">
        <v>8.5000000000000006E-2</v>
      </c>
      <c r="V67" s="155">
        <v>33</v>
      </c>
    </row>
    <row r="68" spans="14:22">
      <c r="N68" s="156">
        <v>0.09</v>
      </c>
      <c r="O68" s="157">
        <v>9.5899999999999999E-2</v>
      </c>
      <c r="P68" s="156">
        <v>0.17100000000000001</v>
      </c>
      <c r="Q68" s="156">
        <v>0.93799999999999994</v>
      </c>
      <c r="R68" s="156">
        <v>-1.4950000000000001</v>
      </c>
      <c r="S68" s="156">
        <v>7.25</v>
      </c>
      <c r="T68" s="158">
        <v>435</v>
      </c>
      <c r="U68" s="156">
        <v>0.09</v>
      </c>
      <c r="V68" s="155">
        <v>34</v>
      </c>
    </row>
    <row r="69" spans="14:22">
      <c r="N69" s="156">
        <v>9.5000000000000001E-2</v>
      </c>
      <c r="O69" s="157">
        <v>0.10100000000000001</v>
      </c>
      <c r="P69" s="156">
        <v>0.17599999999999999</v>
      </c>
      <c r="Q69" s="156">
        <v>0.93600000000000005</v>
      </c>
      <c r="R69" s="156">
        <v>-1.552</v>
      </c>
      <c r="S69" s="156">
        <v>7.25</v>
      </c>
      <c r="T69" s="158">
        <v>435</v>
      </c>
      <c r="U69" s="156">
        <v>9.5000000000000001E-2</v>
      </c>
      <c r="V69" s="155">
        <v>35</v>
      </c>
    </row>
    <row r="70" spans="14:22">
      <c r="N70" s="156">
        <v>0.1</v>
      </c>
      <c r="O70" s="157">
        <v>0.107</v>
      </c>
      <c r="P70" s="156">
        <v>0.182</v>
      </c>
      <c r="Q70" s="156">
        <v>0.93400000000000005</v>
      </c>
      <c r="R70" s="156">
        <v>-1.61</v>
      </c>
      <c r="S70" s="156">
        <v>7.25</v>
      </c>
      <c r="T70" s="158">
        <v>435</v>
      </c>
      <c r="U70" s="156">
        <v>0.1</v>
      </c>
      <c r="V70" s="155">
        <v>36</v>
      </c>
    </row>
    <row r="71" spans="14:22">
      <c r="N71" s="156">
        <v>0.105</v>
      </c>
      <c r="O71" s="157">
        <v>0.113</v>
      </c>
      <c r="P71" s="156">
        <v>0.187</v>
      </c>
      <c r="Q71" s="156">
        <v>0.93200000000000005</v>
      </c>
      <c r="R71" s="156">
        <v>-1.669</v>
      </c>
      <c r="S71" s="156">
        <v>7.25</v>
      </c>
      <c r="T71" s="158">
        <v>435</v>
      </c>
      <c r="U71" s="156">
        <v>0.105</v>
      </c>
      <c r="V71" s="155">
        <v>37</v>
      </c>
    </row>
    <row r="72" spans="14:22">
      <c r="N72" s="156">
        <v>0.11</v>
      </c>
      <c r="O72" s="157">
        <v>0.11799999999999999</v>
      </c>
      <c r="P72" s="156">
        <v>0.192</v>
      </c>
      <c r="Q72" s="156">
        <v>0.92900000000000005</v>
      </c>
      <c r="R72" s="156">
        <v>-1.7270000000000001</v>
      </c>
      <c r="S72" s="156">
        <v>7.25</v>
      </c>
      <c r="T72" s="158">
        <v>435</v>
      </c>
      <c r="U72" s="156">
        <v>0.11</v>
      </c>
      <c r="V72" s="155">
        <v>38</v>
      </c>
    </row>
    <row r="73" spans="14:22">
      <c r="N73" s="156">
        <v>0.115</v>
      </c>
      <c r="O73" s="157">
        <v>0.124</v>
      </c>
      <c r="P73" s="156">
        <v>0.19800000000000001</v>
      </c>
      <c r="Q73" s="156">
        <v>0.92700000000000005</v>
      </c>
      <c r="R73" s="156">
        <v>-1.7869999999999999</v>
      </c>
      <c r="S73" s="156">
        <v>7.25</v>
      </c>
      <c r="T73" s="158">
        <v>435</v>
      </c>
      <c r="U73" s="156">
        <v>0.115</v>
      </c>
      <c r="V73" s="155">
        <v>39</v>
      </c>
    </row>
    <row r="74" spans="14:22">
      <c r="N74" s="156">
        <v>0.12</v>
      </c>
      <c r="O74" s="157">
        <v>0.13</v>
      </c>
      <c r="P74" s="156">
        <v>0.20300000000000001</v>
      </c>
      <c r="Q74" s="156">
        <v>0.92500000000000004</v>
      </c>
      <c r="R74" s="156">
        <v>-1.847</v>
      </c>
      <c r="S74" s="156">
        <v>7.25</v>
      </c>
      <c r="T74" s="158">
        <v>435</v>
      </c>
      <c r="U74" s="156">
        <v>0.12</v>
      </c>
      <c r="V74" s="155">
        <v>40</v>
      </c>
    </row>
    <row r="75" spans="14:22">
      <c r="N75" s="156">
        <v>0.125</v>
      </c>
      <c r="O75" s="157">
        <v>0.13600000000000001</v>
      </c>
      <c r="P75" s="156">
        <v>0.20799999999999999</v>
      </c>
      <c r="Q75" s="156">
        <v>0.92200000000000004</v>
      </c>
      <c r="R75" s="156">
        <v>-1.9079999999999999</v>
      </c>
      <c r="S75" s="156">
        <v>7.25</v>
      </c>
      <c r="T75" s="158">
        <v>435</v>
      </c>
      <c r="U75" s="156">
        <v>0.125</v>
      </c>
      <c r="V75" s="155">
        <v>41</v>
      </c>
    </row>
    <row r="76" spans="14:22">
      <c r="N76" s="156">
        <v>0.13</v>
      </c>
      <c r="O76" s="157">
        <v>0.14099999999999999</v>
      </c>
      <c r="P76" s="156">
        <v>0.214</v>
      </c>
      <c r="Q76" s="156">
        <v>0.92</v>
      </c>
      <c r="R76" s="156">
        <v>-1.9690000000000001</v>
      </c>
      <c r="S76" s="156">
        <v>7.25</v>
      </c>
      <c r="T76" s="158">
        <v>435</v>
      </c>
      <c r="U76" s="156">
        <v>0.13</v>
      </c>
      <c r="V76" s="155">
        <v>42</v>
      </c>
    </row>
    <row r="77" spans="14:22">
      <c r="N77" s="156">
        <v>0.13500000000000001</v>
      </c>
      <c r="O77" s="157">
        <v>0.14699999999999999</v>
      </c>
      <c r="P77" s="156">
        <v>0.219</v>
      </c>
      <c r="Q77" s="156">
        <v>0.91800000000000004</v>
      </c>
      <c r="R77" s="156">
        <v>-2.032</v>
      </c>
      <c r="S77" s="156">
        <v>7.25</v>
      </c>
      <c r="T77" s="158">
        <v>435</v>
      </c>
      <c r="U77" s="156">
        <v>0.13500000000000001</v>
      </c>
      <c r="V77" s="155">
        <v>43</v>
      </c>
    </row>
    <row r="78" spans="14:22">
      <c r="N78" s="156">
        <v>0.14000000000000001</v>
      </c>
      <c r="O78" s="157">
        <v>0.153</v>
      </c>
      <c r="P78" s="156">
        <v>0.224</v>
      </c>
      <c r="Q78" s="156">
        <v>0.91500000000000004</v>
      </c>
      <c r="R78" s="156">
        <v>-2.0960000000000001</v>
      </c>
      <c r="S78" s="156">
        <v>7.25</v>
      </c>
      <c r="T78" s="158">
        <v>435</v>
      </c>
      <c r="U78" s="156">
        <v>0.14000000000000001</v>
      </c>
      <c r="V78" s="155">
        <v>44</v>
      </c>
    </row>
    <row r="79" spans="14:22">
      <c r="N79" s="156">
        <v>0.14499999999999999</v>
      </c>
      <c r="O79" s="157">
        <v>0.159</v>
      </c>
      <c r="P79" s="156">
        <v>0.23</v>
      </c>
      <c r="Q79" s="156">
        <v>0.91300000000000003</v>
      </c>
      <c r="R79" s="156">
        <v>-2.1619999999999999</v>
      </c>
      <c r="S79" s="156">
        <v>7.25</v>
      </c>
      <c r="T79" s="158">
        <v>435</v>
      </c>
      <c r="U79" s="156">
        <v>0.14499999999999999</v>
      </c>
      <c r="V79" s="155">
        <v>45</v>
      </c>
    </row>
    <row r="80" spans="14:22">
      <c r="N80" s="156">
        <v>0.15</v>
      </c>
      <c r="O80" s="157">
        <v>0.16500000000000001</v>
      </c>
      <c r="P80" s="156">
        <v>0.23499999999999999</v>
      </c>
      <c r="Q80" s="156">
        <v>0.91</v>
      </c>
      <c r="R80" s="156">
        <v>-2.2290000000000001</v>
      </c>
      <c r="S80" s="156">
        <v>7.25</v>
      </c>
      <c r="T80" s="158">
        <v>435</v>
      </c>
      <c r="U80" s="156">
        <v>0.15</v>
      </c>
      <c r="V80" s="155">
        <v>46</v>
      </c>
    </row>
    <row r="81" spans="14:22">
      <c r="N81" s="156">
        <v>0.16</v>
      </c>
      <c r="O81" s="157">
        <v>0.17699999999999999</v>
      </c>
      <c r="P81" s="156">
        <v>0.246</v>
      </c>
      <c r="Q81" s="156">
        <v>0.90500000000000003</v>
      </c>
      <c r="R81" s="156">
        <v>-2.367</v>
      </c>
      <c r="S81" s="156">
        <v>7.25</v>
      </c>
      <c r="T81" s="158">
        <v>435</v>
      </c>
      <c r="U81" s="156">
        <v>0.16</v>
      </c>
      <c r="V81" s="155">
        <v>47</v>
      </c>
    </row>
    <row r="82" spans="14:22">
      <c r="N82" s="156">
        <v>0.17</v>
      </c>
      <c r="O82" s="157">
        <v>0.189</v>
      </c>
      <c r="P82" s="156">
        <v>0.25700000000000001</v>
      </c>
      <c r="Q82" s="156">
        <v>0.89900000000000002</v>
      </c>
      <c r="R82" s="156">
        <v>-2.512</v>
      </c>
      <c r="S82" s="156">
        <v>7.25</v>
      </c>
      <c r="T82" s="158">
        <v>435</v>
      </c>
      <c r="U82" s="156">
        <v>0.17</v>
      </c>
      <c r="V82" s="155">
        <v>48</v>
      </c>
    </row>
    <row r="83" spans="14:22">
      <c r="N83" s="156">
        <v>0.18</v>
      </c>
      <c r="O83" s="157">
        <v>0.20100000000000001</v>
      </c>
      <c r="P83" s="156">
        <v>0.26900000000000002</v>
      </c>
      <c r="Q83" s="156">
        <v>0.89400000000000002</v>
      </c>
      <c r="R83" s="156">
        <v>-2.6629999999999998</v>
      </c>
      <c r="S83" s="156">
        <v>7.25</v>
      </c>
      <c r="T83" s="158">
        <v>435</v>
      </c>
      <c r="U83" s="156">
        <v>0.18</v>
      </c>
      <c r="V83" s="155">
        <v>49</v>
      </c>
    </row>
    <row r="84" spans="14:22">
      <c r="N84" s="156">
        <v>0.19</v>
      </c>
      <c r="O84" s="157">
        <v>0.214</v>
      </c>
      <c r="P84" s="156">
        <v>0.28000000000000003</v>
      </c>
      <c r="Q84" s="156">
        <v>0.88800000000000001</v>
      </c>
      <c r="R84" s="156">
        <v>-2.8220000000000001</v>
      </c>
      <c r="S84" s="156">
        <v>7.25</v>
      </c>
      <c r="T84" s="158">
        <v>435</v>
      </c>
      <c r="U84" s="156">
        <v>0.19</v>
      </c>
      <c r="V84" s="155">
        <v>50</v>
      </c>
    </row>
    <row r="85" spans="14:22">
      <c r="N85" s="156">
        <v>0.2</v>
      </c>
      <c r="O85" s="157">
        <v>0.22700000000000001</v>
      </c>
      <c r="P85" s="156">
        <v>0.29199999999999998</v>
      </c>
      <c r="Q85" s="156">
        <v>0.88200000000000001</v>
      </c>
      <c r="R85" s="156">
        <v>-2.9889999999999999</v>
      </c>
      <c r="S85" s="156">
        <v>7.25</v>
      </c>
      <c r="T85" s="158">
        <v>435</v>
      </c>
      <c r="U85" s="156">
        <v>0.2</v>
      </c>
      <c r="V85" s="155">
        <v>51</v>
      </c>
    </row>
    <row r="86" spans="14:22">
      <c r="N86" s="156">
        <v>0.21</v>
      </c>
      <c r="O86" s="157">
        <v>0.24</v>
      </c>
      <c r="P86" s="156">
        <v>0.30399999999999999</v>
      </c>
      <c r="Q86" s="156">
        <v>0.876</v>
      </c>
      <c r="R86" s="156">
        <v>-3.1640000000000001</v>
      </c>
      <c r="S86" s="156">
        <v>7.25</v>
      </c>
      <c r="T86" s="158">
        <v>435</v>
      </c>
      <c r="U86" s="156">
        <v>0.21</v>
      </c>
      <c r="V86" s="155">
        <v>52</v>
      </c>
    </row>
    <row r="87" spans="14:22">
      <c r="N87" s="156">
        <v>0.22</v>
      </c>
      <c r="O87" s="157">
        <v>0.253</v>
      </c>
      <c r="P87" s="156">
        <v>0.316</v>
      </c>
      <c r="Q87" s="156">
        <v>0.87</v>
      </c>
      <c r="R87" s="156">
        <v>-3.3479999999999999</v>
      </c>
      <c r="S87" s="156">
        <v>7.25</v>
      </c>
      <c r="T87" s="158">
        <v>435</v>
      </c>
      <c r="U87" s="156">
        <v>0.22</v>
      </c>
      <c r="V87" s="155">
        <v>53</v>
      </c>
    </row>
    <row r="88" spans="14:22">
      <c r="N88" s="156">
        <v>0.22800000000000001</v>
      </c>
      <c r="O88" s="157">
        <v>0.26400000000000001</v>
      </c>
      <c r="P88" s="156">
        <v>0.32600000000000001</v>
      </c>
      <c r="Q88" s="156">
        <v>0.86499999999999999</v>
      </c>
      <c r="R88" s="156">
        <v>-3.5</v>
      </c>
      <c r="S88" s="156">
        <v>7.25</v>
      </c>
      <c r="T88" s="158">
        <v>435</v>
      </c>
      <c r="U88" s="156">
        <v>0.22800000000000001</v>
      </c>
      <c r="V88" s="155">
        <v>54</v>
      </c>
    </row>
    <row r="89" spans="14:22">
      <c r="N89" s="156">
        <v>0.24</v>
      </c>
      <c r="O89" s="157">
        <v>0.28000000000000003</v>
      </c>
      <c r="P89" s="156">
        <v>0.34599999999999997</v>
      </c>
      <c r="Q89" s="156">
        <v>0.85599999999999998</v>
      </c>
      <c r="R89" s="156">
        <v>-3.5</v>
      </c>
      <c r="S89" s="156">
        <v>6.6050000000000004</v>
      </c>
      <c r="T89" s="158">
        <v>396</v>
      </c>
      <c r="U89" s="156">
        <v>0.24</v>
      </c>
      <c r="V89" s="155">
        <v>55</v>
      </c>
    </row>
    <row r="90" spans="14:22">
      <c r="N90" s="156">
        <v>0.25</v>
      </c>
      <c r="O90" s="157">
        <v>0.29499999999999998</v>
      </c>
      <c r="P90" s="156">
        <v>0.36399999999999999</v>
      </c>
      <c r="Q90" s="156">
        <v>0.84899999999999998</v>
      </c>
      <c r="R90" s="156">
        <v>-3.5</v>
      </c>
      <c r="S90" s="156">
        <v>6.1180000000000003</v>
      </c>
      <c r="T90" s="158">
        <v>367</v>
      </c>
      <c r="U90" s="156">
        <v>0.25</v>
      </c>
      <c r="V90" s="155">
        <v>56</v>
      </c>
    </row>
    <row r="91" spans="14:22">
      <c r="N91" s="156">
        <v>0.26</v>
      </c>
      <c r="O91" s="157">
        <v>0.309</v>
      </c>
      <c r="P91" s="156">
        <v>0.38200000000000001</v>
      </c>
      <c r="Q91" s="156">
        <v>0.84099999999999997</v>
      </c>
      <c r="R91" s="156">
        <v>-3.5</v>
      </c>
      <c r="S91" s="156">
        <v>5.6660000000000004</v>
      </c>
      <c r="T91" s="158">
        <v>340</v>
      </c>
      <c r="U91" s="156">
        <v>0.26</v>
      </c>
      <c r="V91" s="155">
        <v>57</v>
      </c>
    </row>
    <row r="92" spans="14:22">
      <c r="N92" s="156">
        <v>0.27</v>
      </c>
      <c r="O92" s="157">
        <v>0.32400000000000001</v>
      </c>
      <c r="P92" s="156">
        <v>0.4</v>
      </c>
      <c r="Q92" s="156">
        <v>0.83399999999999996</v>
      </c>
      <c r="R92" s="156">
        <v>-3.5</v>
      </c>
      <c r="S92" s="156">
        <v>5.2469999999999999</v>
      </c>
      <c r="T92" s="158">
        <v>315</v>
      </c>
      <c r="U92" s="156">
        <v>0.27</v>
      </c>
      <c r="V92" s="155">
        <v>58</v>
      </c>
    </row>
    <row r="93" spans="14:22">
      <c r="N93" s="156">
        <v>0.28000000000000003</v>
      </c>
      <c r="O93" s="157">
        <v>0.33900000000000002</v>
      </c>
      <c r="P93" s="156">
        <v>0.41899999999999998</v>
      </c>
      <c r="Q93" s="156">
        <v>0.82599999999999996</v>
      </c>
      <c r="R93" s="156">
        <v>-3.5</v>
      </c>
      <c r="S93" s="156">
        <v>4.8559999999999999</v>
      </c>
      <c r="T93" s="158">
        <v>291</v>
      </c>
      <c r="U93" s="156">
        <v>0.28000000000000003</v>
      </c>
      <c r="V93" s="155">
        <v>59</v>
      </c>
    </row>
    <row r="94" spans="14:22">
      <c r="N94" s="156">
        <v>0.28999999999999998</v>
      </c>
      <c r="O94" s="157">
        <v>0.35499999999999998</v>
      </c>
      <c r="P94" s="156">
        <v>0.438</v>
      </c>
      <c r="Q94" s="156">
        <v>0.81799999999999995</v>
      </c>
      <c r="R94" s="156">
        <v>-3.5</v>
      </c>
      <c r="S94" s="156">
        <v>4.49</v>
      </c>
      <c r="T94" s="158">
        <v>269</v>
      </c>
      <c r="U94" s="156">
        <v>0.28999999999999998</v>
      </c>
      <c r="V94" s="155">
        <v>60</v>
      </c>
    </row>
    <row r="95" spans="14:22">
      <c r="N95" s="156">
        <v>0.3</v>
      </c>
      <c r="O95" s="157">
        <v>0.371</v>
      </c>
      <c r="P95" s="156">
        <v>0.45800000000000002</v>
      </c>
      <c r="Q95" s="156">
        <v>0.81</v>
      </c>
      <c r="R95" s="156">
        <v>-3.5</v>
      </c>
      <c r="S95" s="156">
        <v>4.1459999999999999</v>
      </c>
      <c r="T95" s="158">
        <v>249</v>
      </c>
      <c r="U95" s="156">
        <v>0.3</v>
      </c>
      <c r="V95" s="155">
        <v>61</v>
      </c>
    </row>
    <row r="96" spans="14:22">
      <c r="N96" s="156">
        <v>0.31</v>
      </c>
      <c r="O96" s="157">
        <v>0.38700000000000001</v>
      </c>
      <c r="P96" s="156">
        <v>0.47799999999999998</v>
      </c>
      <c r="Q96" s="156">
        <v>0.80100000000000005</v>
      </c>
      <c r="R96" s="156">
        <v>-3.5</v>
      </c>
      <c r="S96" s="156">
        <v>3.823</v>
      </c>
      <c r="T96" s="158">
        <v>229</v>
      </c>
      <c r="U96" s="156">
        <v>0.31</v>
      </c>
      <c r="V96" s="155">
        <v>62</v>
      </c>
    </row>
    <row r="97" spans="14:22">
      <c r="N97" s="156">
        <v>0.32</v>
      </c>
      <c r="O97" s="157">
        <v>0.40400000000000003</v>
      </c>
      <c r="P97" s="156">
        <v>0.499</v>
      </c>
      <c r="Q97" s="156">
        <v>0.79300000000000004</v>
      </c>
      <c r="R97" s="156">
        <v>-3.5</v>
      </c>
      <c r="S97" s="156">
        <v>3.5169999999999999</v>
      </c>
      <c r="T97" s="158">
        <v>211</v>
      </c>
      <c r="U97" s="156">
        <v>0.32</v>
      </c>
      <c r="V97" s="155">
        <v>63</v>
      </c>
    </row>
    <row r="98" spans="14:22">
      <c r="N98" s="156">
        <v>0.33</v>
      </c>
      <c r="O98" s="157">
        <v>0.42099999999999999</v>
      </c>
      <c r="P98" s="156">
        <v>0.52</v>
      </c>
      <c r="Q98" s="156">
        <v>0.78400000000000003</v>
      </c>
      <c r="R98" s="156">
        <v>-3.5</v>
      </c>
      <c r="S98" s="156">
        <v>3.2280000000000002</v>
      </c>
      <c r="T98" s="158">
        <v>194</v>
      </c>
      <c r="U98" s="156">
        <v>0.33</v>
      </c>
      <c r="V98" s="155">
        <v>64</v>
      </c>
    </row>
    <row r="99" spans="14:22">
      <c r="N99" s="156">
        <v>0.34</v>
      </c>
      <c r="O99" s="157">
        <v>0.439</v>
      </c>
      <c r="P99" s="156">
        <v>0.54200000000000004</v>
      </c>
      <c r="Q99" s="156">
        <v>0.77400000000000002</v>
      </c>
      <c r="R99" s="156">
        <v>-3.5</v>
      </c>
      <c r="S99" s="156">
        <v>2.9529999999999998</v>
      </c>
      <c r="T99" s="158">
        <v>177</v>
      </c>
      <c r="U99" s="156">
        <v>0.34</v>
      </c>
      <c r="V99" s="155">
        <v>65</v>
      </c>
    </row>
    <row r="100" spans="14:22">
      <c r="N100" s="156">
        <v>0.35</v>
      </c>
      <c r="O100" s="157">
        <v>0.45800000000000002</v>
      </c>
      <c r="P100" s="156">
        <v>0.56499999999999995</v>
      </c>
      <c r="Q100" s="156">
        <v>0.76500000000000001</v>
      </c>
      <c r="R100" s="156">
        <v>-3.5</v>
      </c>
      <c r="S100" s="156">
        <v>2.6920000000000002</v>
      </c>
      <c r="T100" s="158">
        <v>162</v>
      </c>
      <c r="U100" s="156">
        <v>0.35</v>
      </c>
      <c r="V100" s="155">
        <v>66</v>
      </c>
    </row>
    <row r="101" spans="14:22">
      <c r="N101" s="156">
        <v>0.36</v>
      </c>
      <c r="O101" s="157">
        <v>0.47699999999999998</v>
      </c>
      <c r="P101" s="156">
        <v>0.58899999999999997</v>
      </c>
      <c r="Q101" s="156">
        <v>0.755</v>
      </c>
      <c r="R101" s="156">
        <v>-3.5</v>
      </c>
      <c r="S101" s="156">
        <v>2.4420000000000002</v>
      </c>
      <c r="T101" s="158">
        <v>147</v>
      </c>
      <c r="U101" s="156">
        <v>0.36</v>
      </c>
      <c r="V101" s="155">
        <v>67</v>
      </c>
    </row>
    <row r="102" spans="14:22">
      <c r="N102" s="156">
        <v>0.37</v>
      </c>
      <c r="O102" s="157">
        <v>0.497</v>
      </c>
      <c r="P102" s="156">
        <v>0.61399999999999999</v>
      </c>
      <c r="Q102" s="156">
        <v>0.745</v>
      </c>
      <c r="R102" s="156">
        <v>-3.5</v>
      </c>
      <c r="S102" s="156">
        <v>2.2029999999999998</v>
      </c>
      <c r="T102" s="158">
        <v>132</v>
      </c>
      <c r="U102" s="156">
        <v>0.37</v>
      </c>
      <c r="V102" s="155">
        <v>68</v>
      </c>
    </row>
    <row r="103" spans="14:22">
      <c r="N103" s="156">
        <v>0.38</v>
      </c>
      <c r="O103" s="157">
        <v>0.51800000000000002</v>
      </c>
      <c r="P103" s="156">
        <v>0.64</v>
      </c>
      <c r="Q103" s="156">
        <v>0.73399999999999999</v>
      </c>
      <c r="R103" s="156">
        <v>-3.5</v>
      </c>
      <c r="S103" s="156">
        <v>1.9730000000000001</v>
      </c>
      <c r="T103" s="158">
        <v>118</v>
      </c>
      <c r="U103" s="156">
        <v>0.38</v>
      </c>
      <c r="V103" s="155">
        <v>69</v>
      </c>
    </row>
    <row r="104" spans="14:22">
      <c r="N104" s="156">
        <v>0.39</v>
      </c>
      <c r="O104" s="157">
        <v>0.54</v>
      </c>
      <c r="P104" s="156">
        <v>0.66700000000000004</v>
      </c>
      <c r="Q104" s="156">
        <v>0.72299999999999998</v>
      </c>
      <c r="R104" s="156">
        <v>-3.5</v>
      </c>
      <c r="S104" s="156">
        <v>1.7509999999999999</v>
      </c>
      <c r="T104" s="158">
        <v>105</v>
      </c>
      <c r="U104" s="156">
        <v>0.39</v>
      </c>
      <c r="V104" s="155">
        <v>70</v>
      </c>
    </row>
    <row r="105" spans="14:22">
      <c r="N105" s="156">
        <v>0.4</v>
      </c>
      <c r="O105" s="157">
        <v>0.56299999999999994</v>
      </c>
      <c r="P105" s="156">
        <v>0.69499999999999995</v>
      </c>
      <c r="Q105" s="156">
        <v>0.71099999999999997</v>
      </c>
      <c r="R105" s="156">
        <v>-3.5</v>
      </c>
      <c r="S105" s="156">
        <v>1.5349999999999999</v>
      </c>
      <c r="T105" s="158">
        <v>92</v>
      </c>
      <c r="U105" s="156">
        <v>0.4</v>
      </c>
      <c r="V105" s="155">
        <v>71</v>
      </c>
    </row>
  </sheetData>
  <sheetProtection algorithmName="SHA-512" hashValue="5lwDTHxhXNXa/3D485lGVn3TAs5jgR6cUtgN8a3hHEalgSdXR8SUFZirqTO8aBiMmjsaVQ2nJDHyLG4RdDA5ig==" saltValue="ab6Fxy5my5FCFuIloehkLg==" spinCount="100000" sheet="1" objects="1" scenarios="1"/>
  <mergeCells count="6">
    <mergeCell ref="A2:L2"/>
    <mergeCell ref="C5:F5"/>
    <mergeCell ref="J5:L5"/>
    <mergeCell ref="C6:F6"/>
    <mergeCell ref="C7:F7"/>
    <mergeCell ref="H7:L7"/>
  </mergeCells>
  <dataValidations count="4">
    <dataValidation type="whole" allowBlank="1" showInputMessage="1" showErrorMessage="1" sqref="D15" xr:uid="{683BA200-D313-4619-AD0E-0024C3C5F07A}">
      <formula1>0</formula1>
      <formula2>100</formula2>
    </dataValidation>
    <dataValidation showDropDown="1" showInputMessage="1" showErrorMessage="1" sqref="D20" xr:uid="{36EBAFF0-EC9E-47E4-B570-99B436951700}"/>
    <dataValidation type="list" allowBlank="1" showInputMessage="1" showErrorMessage="1" sqref="D18 WVL983058 WLP983058 WBT983058 VRX983058 VIB983058 UYF983058 UOJ983058 UEN983058 TUR983058 TKV983058 TAZ983058 SRD983058 SHH983058 RXL983058 RNP983058 RDT983058 QTX983058 QKB983058 QAF983058 PQJ983058 PGN983058 OWR983058 OMV983058 OCZ983058 NTD983058 NJH983058 MZL983058 MPP983058 MFT983058 LVX983058 LMB983058 LCF983058 KSJ983058 KIN983058 JYR983058 JOV983058 JEZ983058 IVD983058 ILH983058 IBL983058 HRP983058 HHT983058 GXX983058 GOB983058 GEF983058 FUJ983058 FKN983058 FAR983058 EQV983058 EGZ983058 DXD983058 DNH983058 DDL983058 CTP983058 CJT983058 BZX983058 BQB983058 BGF983058 AWJ983058 AMN983058 ACR983058 SV983058 IZ983058 D983058 WVL917522 WLP917522 WBT917522 VRX917522 VIB917522 UYF917522 UOJ917522 UEN917522 TUR917522 TKV917522 TAZ917522 SRD917522 SHH917522 RXL917522 RNP917522 RDT917522 QTX917522 QKB917522 QAF917522 PQJ917522 PGN917522 OWR917522 OMV917522 OCZ917522 NTD917522 NJH917522 MZL917522 MPP917522 MFT917522 LVX917522 LMB917522 LCF917522 KSJ917522 KIN917522 JYR917522 JOV917522 JEZ917522 IVD917522 ILH917522 IBL917522 HRP917522 HHT917522 GXX917522 GOB917522 GEF917522 FUJ917522 FKN917522 FAR917522 EQV917522 EGZ917522 DXD917522 DNH917522 DDL917522 CTP917522 CJT917522 BZX917522 BQB917522 BGF917522 AWJ917522 AMN917522 ACR917522 SV917522 IZ917522 D917522 WVL851986 WLP851986 WBT851986 VRX851986 VIB851986 UYF851986 UOJ851986 UEN851986 TUR851986 TKV851986 TAZ851986 SRD851986 SHH851986 RXL851986 RNP851986 RDT851986 QTX851986 QKB851986 QAF851986 PQJ851986 PGN851986 OWR851986 OMV851986 OCZ851986 NTD851986 NJH851986 MZL851986 MPP851986 MFT851986 LVX851986 LMB851986 LCF851986 KSJ851986 KIN851986 JYR851986 JOV851986 JEZ851986 IVD851986 ILH851986 IBL851986 HRP851986 HHT851986 GXX851986 GOB851986 GEF851986 FUJ851986 FKN851986 FAR851986 EQV851986 EGZ851986 DXD851986 DNH851986 DDL851986 CTP851986 CJT851986 BZX851986 BQB851986 BGF851986 AWJ851986 AMN851986 ACR851986 SV851986 IZ851986 D851986 WVL786450 WLP786450 WBT786450 VRX786450 VIB786450 UYF786450 UOJ786450 UEN786450 TUR786450 TKV786450 TAZ786450 SRD786450 SHH786450 RXL786450 RNP786450 RDT786450 QTX786450 QKB786450 QAF786450 PQJ786450 PGN786450 OWR786450 OMV786450 OCZ786450 NTD786450 NJH786450 MZL786450 MPP786450 MFT786450 LVX786450 LMB786450 LCF786450 KSJ786450 KIN786450 JYR786450 JOV786450 JEZ786450 IVD786450 ILH786450 IBL786450 HRP786450 HHT786450 GXX786450 GOB786450 GEF786450 FUJ786450 FKN786450 FAR786450 EQV786450 EGZ786450 DXD786450 DNH786450 DDL786450 CTP786450 CJT786450 BZX786450 BQB786450 BGF786450 AWJ786450 AMN786450 ACR786450 SV786450 IZ786450 D786450 WVL720914 WLP720914 WBT720914 VRX720914 VIB720914 UYF720914 UOJ720914 UEN720914 TUR720914 TKV720914 TAZ720914 SRD720914 SHH720914 RXL720914 RNP720914 RDT720914 QTX720914 QKB720914 QAF720914 PQJ720914 PGN720914 OWR720914 OMV720914 OCZ720914 NTD720914 NJH720914 MZL720914 MPP720914 MFT720914 LVX720914 LMB720914 LCF720914 KSJ720914 KIN720914 JYR720914 JOV720914 JEZ720914 IVD720914 ILH720914 IBL720914 HRP720914 HHT720914 GXX720914 GOB720914 GEF720914 FUJ720914 FKN720914 FAR720914 EQV720914 EGZ720914 DXD720914 DNH720914 DDL720914 CTP720914 CJT720914 BZX720914 BQB720914 BGF720914 AWJ720914 AMN720914 ACR720914 SV720914 IZ720914 D720914 WVL655378 WLP655378 WBT655378 VRX655378 VIB655378 UYF655378 UOJ655378 UEN655378 TUR655378 TKV655378 TAZ655378 SRD655378 SHH655378 RXL655378 RNP655378 RDT655378 QTX655378 QKB655378 QAF655378 PQJ655378 PGN655378 OWR655378 OMV655378 OCZ655378 NTD655378 NJH655378 MZL655378 MPP655378 MFT655378 LVX655378 LMB655378 LCF655378 KSJ655378 KIN655378 JYR655378 JOV655378 JEZ655378 IVD655378 ILH655378 IBL655378 HRP655378 HHT655378 GXX655378 GOB655378 GEF655378 FUJ655378 FKN655378 FAR655378 EQV655378 EGZ655378 DXD655378 DNH655378 DDL655378 CTP655378 CJT655378 BZX655378 BQB655378 BGF655378 AWJ655378 AMN655378 ACR655378 SV655378 IZ655378 D655378 WVL589842 WLP589842 WBT589842 VRX589842 VIB589842 UYF589842 UOJ589842 UEN589842 TUR589842 TKV589842 TAZ589842 SRD589842 SHH589842 RXL589842 RNP589842 RDT589842 QTX589842 QKB589842 QAF589842 PQJ589842 PGN589842 OWR589842 OMV589842 OCZ589842 NTD589842 NJH589842 MZL589842 MPP589842 MFT589842 LVX589842 LMB589842 LCF589842 KSJ589842 KIN589842 JYR589842 JOV589842 JEZ589842 IVD589842 ILH589842 IBL589842 HRP589842 HHT589842 GXX589842 GOB589842 GEF589842 FUJ589842 FKN589842 FAR589842 EQV589842 EGZ589842 DXD589842 DNH589842 DDL589842 CTP589842 CJT589842 BZX589842 BQB589842 BGF589842 AWJ589842 AMN589842 ACR589842 SV589842 IZ589842 D589842 WVL524306 WLP524306 WBT524306 VRX524306 VIB524306 UYF524306 UOJ524306 UEN524306 TUR524306 TKV524306 TAZ524306 SRD524306 SHH524306 RXL524306 RNP524306 RDT524306 QTX524306 QKB524306 QAF524306 PQJ524306 PGN524306 OWR524306 OMV524306 OCZ524306 NTD524306 NJH524306 MZL524306 MPP524306 MFT524306 LVX524306 LMB524306 LCF524306 KSJ524306 KIN524306 JYR524306 JOV524306 JEZ524306 IVD524306 ILH524306 IBL524306 HRP524306 HHT524306 GXX524306 GOB524306 GEF524306 FUJ524306 FKN524306 FAR524306 EQV524306 EGZ524306 DXD524306 DNH524306 DDL524306 CTP524306 CJT524306 BZX524306 BQB524306 BGF524306 AWJ524306 AMN524306 ACR524306 SV524306 IZ524306 D524306 WVL458770 WLP458770 WBT458770 VRX458770 VIB458770 UYF458770 UOJ458770 UEN458770 TUR458770 TKV458770 TAZ458770 SRD458770 SHH458770 RXL458770 RNP458770 RDT458770 QTX458770 QKB458770 QAF458770 PQJ458770 PGN458770 OWR458770 OMV458770 OCZ458770 NTD458770 NJH458770 MZL458770 MPP458770 MFT458770 LVX458770 LMB458770 LCF458770 KSJ458770 KIN458770 JYR458770 JOV458770 JEZ458770 IVD458770 ILH458770 IBL458770 HRP458770 HHT458770 GXX458770 GOB458770 GEF458770 FUJ458770 FKN458770 FAR458770 EQV458770 EGZ458770 DXD458770 DNH458770 DDL458770 CTP458770 CJT458770 BZX458770 BQB458770 BGF458770 AWJ458770 AMN458770 ACR458770 SV458770 IZ458770 D458770 WVL393234 WLP393234 WBT393234 VRX393234 VIB393234 UYF393234 UOJ393234 UEN393234 TUR393234 TKV393234 TAZ393234 SRD393234 SHH393234 RXL393234 RNP393234 RDT393234 QTX393234 QKB393234 QAF393234 PQJ393234 PGN393234 OWR393234 OMV393234 OCZ393234 NTD393234 NJH393234 MZL393234 MPP393234 MFT393234 LVX393234 LMB393234 LCF393234 KSJ393234 KIN393234 JYR393234 JOV393234 JEZ393234 IVD393234 ILH393234 IBL393234 HRP393234 HHT393234 GXX393234 GOB393234 GEF393234 FUJ393234 FKN393234 FAR393234 EQV393234 EGZ393234 DXD393234 DNH393234 DDL393234 CTP393234 CJT393234 BZX393234 BQB393234 BGF393234 AWJ393234 AMN393234 ACR393234 SV393234 IZ393234 D393234 WVL327698 WLP327698 WBT327698 VRX327698 VIB327698 UYF327698 UOJ327698 UEN327698 TUR327698 TKV327698 TAZ327698 SRD327698 SHH327698 RXL327698 RNP327698 RDT327698 QTX327698 QKB327698 QAF327698 PQJ327698 PGN327698 OWR327698 OMV327698 OCZ327698 NTD327698 NJH327698 MZL327698 MPP327698 MFT327698 LVX327698 LMB327698 LCF327698 KSJ327698 KIN327698 JYR327698 JOV327698 JEZ327698 IVD327698 ILH327698 IBL327698 HRP327698 HHT327698 GXX327698 GOB327698 GEF327698 FUJ327698 FKN327698 FAR327698 EQV327698 EGZ327698 DXD327698 DNH327698 DDL327698 CTP327698 CJT327698 BZX327698 BQB327698 BGF327698 AWJ327698 AMN327698 ACR327698 SV327698 IZ327698 D327698 WVL262162 WLP262162 WBT262162 VRX262162 VIB262162 UYF262162 UOJ262162 UEN262162 TUR262162 TKV262162 TAZ262162 SRD262162 SHH262162 RXL262162 RNP262162 RDT262162 QTX262162 QKB262162 QAF262162 PQJ262162 PGN262162 OWR262162 OMV262162 OCZ262162 NTD262162 NJH262162 MZL262162 MPP262162 MFT262162 LVX262162 LMB262162 LCF262162 KSJ262162 KIN262162 JYR262162 JOV262162 JEZ262162 IVD262162 ILH262162 IBL262162 HRP262162 HHT262162 GXX262162 GOB262162 GEF262162 FUJ262162 FKN262162 FAR262162 EQV262162 EGZ262162 DXD262162 DNH262162 DDL262162 CTP262162 CJT262162 BZX262162 BQB262162 BGF262162 AWJ262162 AMN262162 ACR262162 SV262162 IZ262162 D262162 WVL196626 WLP196626 WBT196626 VRX196626 VIB196626 UYF196626 UOJ196626 UEN196626 TUR196626 TKV196626 TAZ196626 SRD196626 SHH196626 RXL196626 RNP196626 RDT196626 QTX196626 QKB196626 QAF196626 PQJ196626 PGN196626 OWR196626 OMV196626 OCZ196626 NTD196626 NJH196626 MZL196626 MPP196626 MFT196626 LVX196626 LMB196626 LCF196626 KSJ196626 KIN196626 JYR196626 JOV196626 JEZ196626 IVD196626 ILH196626 IBL196626 HRP196626 HHT196626 GXX196626 GOB196626 GEF196626 FUJ196626 FKN196626 FAR196626 EQV196626 EGZ196626 DXD196626 DNH196626 DDL196626 CTP196626 CJT196626 BZX196626 BQB196626 BGF196626 AWJ196626 AMN196626 ACR196626 SV196626 IZ196626 D196626 WVL131090 WLP131090 WBT131090 VRX131090 VIB131090 UYF131090 UOJ131090 UEN131090 TUR131090 TKV131090 TAZ131090 SRD131090 SHH131090 RXL131090 RNP131090 RDT131090 QTX131090 QKB131090 QAF131090 PQJ131090 PGN131090 OWR131090 OMV131090 OCZ131090 NTD131090 NJH131090 MZL131090 MPP131090 MFT131090 LVX131090 LMB131090 LCF131090 KSJ131090 KIN131090 JYR131090 JOV131090 JEZ131090 IVD131090 ILH131090 IBL131090 HRP131090 HHT131090 GXX131090 GOB131090 GEF131090 FUJ131090 FKN131090 FAR131090 EQV131090 EGZ131090 DXD131090 DNH131090 DDL131090 CTP131090 CJT131090 BZX131090 BQB131090 BGF131090 AWJ131090 AMN131090 ACR131090 SV131090 IZ131090 D131090 WVL65554 WLP65554 WBT65554 VRX65554 VIB65554 UYF65554 UOJ65554 UEN65554 TUR65554 TKV65554 TAZ65554 SRD65554 SHH65554 RXL65554 RNP65554 RDT65554 QTX65554 QKB65554 QAF65554 PQJ65554 PGN65554 OWR65554 OMV65554 OCZ65554 NTD65554 NJH65554 MZL65554 MPP65554 MFT65554 LVX65554 LMB65554 LCF65554 KSJ65554 KIN65554 JYR65554 JOV65554 JEZ65554 IVD65554 ILH65554 IBL65554 HRP65554 HHT65554 GXX65554 GOB65554 GEF65554 FUJ65554 FKN65554 FAR65554 EQV65554 EGZ65554 DXD65554 DNH65554 DDL65554 CTP65554 CJT65554 BZX65554 BQB65554 BGF65554 AWJ65554 AMN65554 ACR65554 SV65554 IZ65554 D65554 WVL18 WLP18 WBT18 VRX18 VIB18 UYF18 UOJ18 UEN18 TUR18 TKV18 TAZ18 SRD18 SHH18 RXL18 RNP18 RDT18 QTX18 QKB18 QAF18 PQJ18 PGN18 OWR18 OMV18 OCZ18 NTD18 NJH18 MZL18 MPP18 MFT18 LVX18 LMB18 LCF18 KSJ18 KIN18 JYR18 JOV18 JEZ18 IVD18 ILH18 IBL18 HRP18 HHT18 GXX18 GOB18 GEF18 FUJ18 FKN18 FAR18 EQV18 EGZ18 DXD18 DNH18 DDL18 CTP18 CJT18 BZX18 BQB18 BGF18 AWJ18 AMN18 ACR18 SV18 IZ18" xr:uid="{EBF1757C-F660-4B6C-8D34-E2295E15DEE8}">
      <formula1>$N$19:$N$26</formula1>
    </dataValidation>
    <dataValidation type="list" allowBlank="1" showInputMessage="1" showErrorMessage="1" sqref="IZ14:IZ15 WVL983055 WLP983055 WBT983055 VRX983055 VIB983055 UYF983055 UOJ983055 UEN983055 TUR983055 TKV983055 TAZ983055 SRD983055 SHH983055 RXL983055 RNP983055 RDT983055 QTX983055 QKB983055 QAF983055 PQJ983055 PGN983055 OWR983055 OMV983055 OCZ983055 NTD983055 NJH983055 MZL983055 MPP983055 MFT983055 LVX983055 LMB983055 LCF983055 KSJ983055 KIN983055 JYR983055 JOV983055 JEZ983055 IVD983055 ILH983055 IBL983055 HRP983055 HHT983055 GXX983055 GOB983055 GEF983055 FUJ983055 FKN983055 FAR983055 EQV983055 EGZ983055 DXD983055 DNH983055 DDL983055 CTP983055 CJT983055 BZX983055 BQB983055 BGF983055 AWJ983055 AMN983055 ACR983055 SV983055 IZ983055 D983055 WVL917519 WLP917519 WBT917519 VRX917519 VIB917519 UYF917519 UOJ917519 UEN917519 TUR917519 TKV917519 TAZ917519 SRD917519 SHH917519 RXL917519 RNP917519 RDT917519 QTX917519 QKB917519 QAF917519 PQJ917519 PGN917519 OWR917519 OMV917519 OCZ917519 NTD917519 NJH917519 MZL917519 MPP917519 MFT917519 LVX917519 LMB917519 LCF917519 KSJ917519 KIN917519 JYR917519 JOV917519 JEZ917519 IVD917519 ILH917519 IBL917519 HRP917519 HHT917519 GXX917519 GOB917519 GEF917519 FUJ917519 FKN917519 FAR917519 EQV917519 EGZ917519 DXD917519 DNH917519 DDL917519 CTP917519 CJT917519 BZX917519 BQB917519 BGF917519 AWJ917519 AMN917519 ACR917519 SV917519 IZ917519 D917519 WVL851983 WLP851983 WBT851983 VRX851983 VIB851983 UYF851983 UOJ851983 UEN851983 TUR851983 TKV851983 TAZ851983 SRD851983 SHH851983 RXL851983 RNP851983 RDT851983 QTX851983 QKB851983 QAF851983 PQJ851983 PGN851983 OWR851983 OMV851983 OCZ851983 NTD851983 NJH851983 MZL851983 MPP851983 MFT851983 LVX851983 LMB851983 LCF851983 KSJ851983 KIN851983 JYR851983 JOV851983 JEZ851983 IVD851983 ILH851983 IBL851983 HRP851983 HHT851983 GXX851983 GOB851983 GEF851983 FUJ851983 FKN851983 FAR851983 EQV851983 EGZ851983 DXD851983 DNH851983 DDL851983 CTP851983 CJT851983 BZX851983 BQB851983 BGF851983 AWJ851983 AMN851983 ACR851983 SV851983 IZ851983 D851983 WVL786447 WLP786447 WBT786447 VRX786447 VIB786447 UYF786447 UOJ786447 UEN786447 TUR786447 TKV786447 TAZ786447 SRD786447 SHH786447 RXL786447 RNP786447 RDT786447 QTX786447 QKB786447 QAF786447 PQJ786447 PGN786447 OWR786447 OMV786447 OCZ786447 NTD786447 NJH786447 MZL786447 MPP786447 MFT786447 LVX786447 LMB786447 LCF786447 KSJ786447 KIN786447 JYR786447 JOV786447 JEZ786447 IVD786447 ILH786447 IBL786447 HRP786447 HHT786447 GXX786447 GOB786447 GEF786447 FUJ786447 FKN786447 FAR786447 EQV786447 EGZ786447 DXD786447 DNH786447 DDL786447 CTP786447 CJT786447 BZX786447 BQB786447 BGF786447 AWJ786447 AMN786447 ACR786447 SV786447 IZ786447 D786447 WVL720911 WLP720911 WBT720911 VRX720911 VIB720911 UYF720911 UOJ720911 UEN720911 TUR720911 TKV720911 TAZ720911 SRD720911 SHH720911 RXL720911 RNP720911 RDT720911 QTX720911 QKB720911 QAF720911 PQJ720911 PGN720911 OWR720911 OMV720911 OCZ720911 NTD720911 NJH720911 MZL720911 MPP720911 MFT720911 LVX720911 LMB720911 LCF720911 KSJ720911 KIN720911 JYR720911 JOV720911 JEZ720911 IVD720911 ILH720911 IBL720911 HRP720911 HHT720911 GXX720911 GOB720911 GEF720911 FUJ720911 FKN720911 FAR720911 EQV720911 EGZ720911 DXD720911 DNH720911 DDL720911 CTP720911 CJT720911 BZX720911 BQB720911 BGF720911 AWJ720911 AMN720911 ACR720911 SV720911 IZ720911 D720911 WVL655375 WLP655375 WBT655375 VRX655375 VIB655375 UYF655375 UOJ655375 UEN655375 TUR655375 TKV655375 TAZ655375 SRD655375 SHH655375 RXL655375 RNP655375 RDT655375 QTX655375 QKB655375 QAF655375 PQJ655375 PGN655375 OWR655375 OMV655375 OCZ655375 NTD655375 NJH655375 MZL655375 MPP655375 MFT655375 LVX655375 LMB655375 LCF655375 KSJ655375 KIN655375 JYR655375 JOV655375 JEZ655375 IVD655375 ILH655375 IBL655375 HRP655375 HHT655375 GXX655375 GOB655375 GEF655375 FUJ655375 FKN655375 FAR655375 EQV655375 EGZ655375 DXD655375 DNH655375 DDL655375 CTP655375 CJT655375 BZX655375 BQB655375 BGF655375 AWJ655375 AMN655375 ACR655375 SV655375 IZ655375 D655375 WVL589839 WLP589839 WBT589839 VRX589839 VIB589839 UYF589839 UOJ589839 UEN589839 TUR589839 TKV589839 TAZ589839 SRD589839 SHH589839 RXL589839 RNP589839 RDT589839 QTX589839 QKB589839 QAF589839 PQJ589839 PGN589839 OWR589839 OMV589839 OCZ589839 NTD589839 NJH589839 MZL589839 MPP589839 MFT589839 LVX589839 LMB589839 LCF589839 KSJ589839 KIN589839 JYR589839 JOV589839 JEZ589839 IVD589839 ILH589839 IBL589839 HRP589839 HHT589839 GXX589839 GOB589839 GEF589839 FUJ589839 FKN589839 FAR589839 EQV589839 EGZ589839 DXD589839 DNH589839 DDL589839 CTP589839 CJT589839 BZX589839 BQB589839 BGF589839 AWJ589839 AMN589839 ACR589839 SV589839 IZ589839 D589839 WVL524303 WLP524303 WBT524303 VRX524303 VIB524303 UYF524303 UOJ524303 UEN524303 TUR524303 TKV524303 TAZ524303 SRD524303 SHH524303 RXL524303 RNP524303 RDT524303 QTX524303 QKB524303 QAF524303 PQJ524303 PGN524303 OWR524303 OMV524303 OCZ524303 NTD524303 NJH524303 MZL524303 MPP524303 MFT524303 LVX524303 LMB524303 LCF524303 KSJ524303 KIN524303 JYR524303 JOV524303 JEZ524303 IVD524303 ILH524303 IBL524303 HRP524303 HHT524303 GXX524303 GOB524303 GEF524303 FUJ524303 FKN524303 FAR524303 EQV524303 EGZ524303 DXD524303 DNH524303 DDL524303 CTP524303 CJT524303 BZX524303 BQB524303 BGF524303 AWJ524303 AMN524303 ACR524303 SV524303 IZ524303 D524303 WVL458767 WLP458767 WBT458767 VRX458767 VIB458767 UYF458767 UOJ458767 UEN458767 TUR458767 TKV458767 TAZ458767 SRD458767 SHH458767 RXL458767 RNP458767 RDT458767 QTX458767 QKB458767 QAF458767 PQJ458767 PGN458767 OWR458767 OMV458767 OCZ458767 NTD458767 NJH458767 MZL458767 MPP458767 MFT458767 LVX458767 LMB458767 LCF458767 KSJ458767 KIN458767 JYR458767 JOV458767 JEZ458767 IVD458767 ILH458767 IBL458767 HRP458767 HHT458767 GXX458767 GOB458767 GEF458767 FUJ458767 FKN458767 FAR458767 EQV458767 EGZ458767 DXD458767 DNH458767 DDL458767 CTP458767 CJT458767 BZX458767 BQB458767 BGF458767 AWJ458767 AMN458767 ACR458767 SV458767 IZ458767 D458767 WVL393231 WLP393231 WBT393231 VRX393231 VIB393231 UYF393231 UOJ393231 UEN393231 TUR393231 TKV393231 TAZ393231 SRD393231 SHH393231 RXL393231 RNP393231 RDT393231 QTX393231 QKB393231 QAF393231 PQJ393231 PGN393231 OWR393231 OMV393231 OCZ393231 NTD393231 NJH393231 MZL393231 MPP393231 MFT393231 LVX393231 LMB393231 LCF393231 KSJ393231 KIN393231 JYR393231 JOV393231 JEZ393231 IVD393231 ILH393231 IBL393231 HRP393231 HHT393231 GXX393231 GOB393231 GEF393231 FUJ393231 FKN393231 FAR393231 EQV393231 EGZ393231 DXD393231 DNH393231 DDL393231 CTP393231 CJT393231 BZX393231 BQB393231 BGF393231 AWJ393231 AMN393231 ACR393231 SV393231 IZ393231 D393231 WVL327695 WLP327695 WBT327695 VRX327695 VIB327695 UYF327695 UOJ327695 UEN327695 TUR327695 TKV327695 TAZ327695 SRD327695 SHH327695 RXL327695 RNP327695 RDT327695 QTX327695 QKB327695 QAF327695 PQJ327695 PGN327695 OWR327695 OMV327695 OCZ327695 NTD327695 NJH327695 MZL327695 MPP327695 MFT327695 LVX327695 LMB327695 LCF327695 KSJ327695 KIN327695 JYR327695 JOV327695 JEZ327695 IVD327695 ILH327695 IBL327695 HRP327695 HHT327695 GXX327695 GOB327695 GEF327695 FUJ327695 FKN327695 FAR327695 EQV327695 EGZ327695 DXD327695 DNH327695 DDL327695 CTP327695 CJT327695 BZX327695 BQB327695 BGF327695 AWJ327695 AMN327695 ACR327695 SV327695 IZ327695 D327695 WVL262159 WLP262159 WBT262159 VRX262159 VIB262159 UYF262159 UOJ262159 UEN262159 TUR262159 TKV262159 TAZ262159 SRD262159 SHH262159 RXL262159 RNP262159 RDT262159 QTX262159 QKB262159 QAF262159 PQJ262159 PGN262159 OWR262159 OMV262159 OCZ262159 NTD262159 NJH262159 MZL262159 MPP262159 MFT262159 LVX262159 LMB262159 LCF262159 KSJ262159 KIN262159 JYR262159 JOV262159 JEZ262159 IVD262159 ILH262159 IBL262159 HRP262159 HHT262159 GXX262159 GOB262159 GEF262159 FUJ262159 FKN262159 FAR262159 EQV262159 EGZ262159 DXD262159 DNH262159 DDL262159 CTP262159 CJT262159 BZX262159 BQB262159 BGF262159 AWJ262159 AMN262159 ACR262159 SV262159 IZ262159 D262159 WVL196623 WLP196623 WBT196623 VRX196623 VIB196623 UYF196623 UOJ196623 UEN196623 TUR196623 TKV196623 TAZ196623 SRD196623 SHH196623 RXL196623 RNP196623 RDT196623 QTX196623 QKB196623 QAF196623 PQJ196623 PGN196623 OWR196623 OMV196623 OCZ196623 NTD196623 NJH196623 MZL196623 MPP196623 MFT196623 LVX196623 LMB196623 LCF196623 KSJ196623 KIN196623 JYR196623 JOV196623 JEZ196623 IVD196623 ILH196623 IBL196623 HRP196623 HHT196623 GXX196623 GOB196623 GEF196623 FUJ196623 FKN196623 FAR196623 EQV196623 EGZ196623 DXD196623 DNH196623 DDL196623 CTP196623 CJT196623 BZX196623 BQB196623 BGF196623 AWJ196623 AMN196623 ACR196623 SV196623 IZ196623 D196623 WVL131087 WLP131087 WBT131087 VRX131087 VIB131087 UYF131087 UOJ131087 UEN131087 TUR131087 TKV131087 TAZ131087 SRD131087 SHH131087 RXL131087 RNP131087 RDT131087 QTX131087 QKB131087 QAF131087 PQJ131087 PGN131087 OWR131087 OMV131087 OCZ131087 NTD131087 NJH131087 MZL131087 MPP131087 MFT131087 LVX131087 LMB131087 LCF131087 KSJ131087 KIN131087 JYR131087 JOV131087 JEZ131087 IVD131087 ILH131087 IBL131087 HRP131087 HHT131087 GXX131087 GOB131087 GEF131087 FUJ131087 FKN131087 FAR131087 EQV131087 EGZ131087 DXD131087 DNH131087 DDL131087 CTP131087 CJT131087 BZX131087 BQB131087 BGF131087 AWJ131087 AMN131087 ACR131087 SV131087 IZ131087 D131087 WVL65551 WLP65551 WBT65551 VRX65551 VIB65551 UYF65551 UOJ65551 UEN65551 TUR65551 TKV65551 TAZ65551 SRD65551 SHH65551 RXL65551 RNP65551 RDT65551 QTX65551 QKB65551 QAF65551 PQJ65551 PGN65551 OWR65551 OMV65551 OCZ65551 NTD65551 NJH65551 MZL65551 MPP65551 MFT65551 LVX65551 LMB65551 LCF65551 KSJ65551 KIN65551 JYR65551 JOV65551 JEZ65551 IVD65551 ILH65551 IBL65551 HRP65551 HHT65551 GXX65551 GOB65551 GEF65551 FUJ65551 FKN65551 FAR65551 EQV65551 EGZ65551 DXD65551 DNH65551 DDL65551 CTP65551 CJT65551 BZX65551 BQB65551 BGF65551 AWJ65551 AMN65551 ACR65551 SV65551 IZ65551 D65551 WVL14:WVL15 WLP14:WLP15 WBT14:WBT15 VRX14:VRX15 VIB14:VIB15 UYF14:UYF15 UOJ14:UOJ15 UEN14:UEN15 TUR14:TUR15 TKV14:TKV15 TAZ14:TAZ15 SRD14:SRD15 SHH14:SHH15 RXL14:RXL15 RNP14:RNP15 RDT14:RDT15 QTX14:QTX15 QKB14:QKB15 QAF14:QAF15 PQJ14:PQJ15 PGN14:PGN15 OWR14:OWR15 OMV14:OMV15 OCZ14:OCZ15 NTD14:NTD15 NJH14:NJH15 MZL14:MZL15 MPP14:MPP15 MFT14:MFT15 LVX14:LVX15 LMB14:LMB15 LCF14:LCF15 KSJ14:KSJ15 KIN14:KIN15 JYR14:JYR15 JOV14:JOV15 JEZ14:JEZ15 IVD14:IVD15 ILH14:ILH15 IBL14:IBL15 HRP14:HRP15 HHT14:HHT15 GXX14:GXX15 GOB14:GOB15 GEF14:GEF15 FUJ14:FUJ15 FKN14:FKN15 FAR14:FAR15 EQV14:EQV15 EGZ14:EGZ15 DXD14:DXD15 DNH14:DNH15 DDL14:DDL15 CTP14:CTP15 CJT14:CJT15 BZX14:BZX15 BQB14:BQB15 BGF14:BGF15 AWJ14:AWJ15 AMN14:AMN15 ACR14:ACR15 SV14:SV15 D14" xr:uid="{CC6741C9-B5A1-4212-B81C-37462E5CC77C}">
      <formula1>$O$13:$T$13</formula1>
    </dataValidation>
  </dataValidations>
  <pageMargins left="0.7" right="0.7" top="0.78740157499999996" bottom="0.78740157499999996" header="0.3" footer="0.3"/>
  <pageSetup paperSize="9" scale="64" orientation="portrait" r:id="rId1"/>
  <headerFooter>
    <oddFooter>&amp;L&amp;F&amp;RBemessungshilfe Schöck Combar® V 2.2</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2:AB77"/>
  <sheetViews>
    <sheetView showGridLines="0" showRuler="0" zoomScale="85" zoomScaleNormal="85" zoomScalePageLayoutView="85" workbookViewId="0">
      <selection activeCell="C6" sqref="C6:F6"/>
    </sheetView>
  </sheetViews>
  <sheetFormatPr baseColWidth="10" defaultColWidth="10.85546875" defaultRowHeight="12.75"/>
  <cols>
    <col min="1" max="1" width="3.42578125" style="186" customWidth="1"/>
    <col min="2" max="2" width="14.85546875" style="186" customWidth="1"/>
    <col min="3" max="3" width="15.42578125" style="186" customWidth="1"/>
    <col min="4" max="4" width="10.85546875" style="186"/>
    <col min="5" max="5" width="14.42578125" style="186" customWidth="1"/>
    <col min="6" max="8" width="10.85546875" style="186"/>
    <col min="9" max="9" width="14.7109375" style="186" customWidth="1"/>
    <col min="10" max="11" width="10.85546875" style="186"/>
    <col min="12" max="13" width="5.7109375" style="186" customWidth="1"/>
    <col min="14" max="16" width="10.7109375" style="186" customWidth="1"/>
    <col min="17" max="17" width="2.7109375" style="186" customWidth="1"/>
    <col min="18" max="19" width="10.7109375" style="186" customWidth="1"/>
    <col min="20" max="20" width="2.7109375" style="186" customWidth="1"/>
    <col min="21" max="23" width="10.7109375" style="186" customWidth="1"/>
    <col min="24" max="26" width="10.85546875" style="186"/>
    <col min="27" max="27" width="11" style="186" bestFit="1" customWidth="1"/>
    <col min="28" max="28" width="11.28515625" style="186" bestFit="1" customWidth="1"/>
    <col min="29" max="16384" width="10.85546875" style="186"/>
  </cols>
  <sheetData>
    <row r="2" spans="1:26" ht="50.1" customHeight="1">
      <c r="A2" s="325" t="s">
        <v>270</v>
      </c>
      <c r="B2" s="325"/>
      <c r="C2" s="325"/>
      <c r="D2" s="325"/>
      <c r="E2" s="325"/>
      <c r="F2" s="325"/>
      <c r="G2" s="325"/>
      <c r="H2" s="325"/>
      <c r="I2" s="325"/>
      <c r="J2" s="325"/>
      <c r="K2" s="325"/>
      <c r="L2" s="325"/>
    </row>
    <row r="3" spans="1:26" ht="12.75" customHeight="1">
      <c r="A3" s="187" t="s">
        <v>1</v>
      </c>
      <c r="B3" s="187" t="s">
        <v>25</v>
      </c>
      <c r="C3" s="188"/>
      <c r="D3" s="188"/>
      <c r="E3" s="188"/>
      <c r="F3" s="188"/>
      <c r="G3" s="188"/>
      <c r="H3" s="188"/>
      <c r="I3" s="188"/>
      <c r="J3" s="188"/>
      <c r="K3" s="188"/>
      <c r="L3" s="188"/>
    </row>
    <row r="4" spans="1:26" ht="6" customHeight="1"/>
    <row r="5" spans="1:26" ht="20.100000000000001" customHeight="1">
      <c r="B5" s="186" t="s">
        <v>28</v>
      </c>
      <c r="C5" s="286"/>
      <c r="D5" s="287"/>
      <c r="E5" s="287"/>
      <c r="F5" s="287"/>
      <c r="G5" s="189" t="s">
        <v>97</v>
      </c>
      <c r="H5" s="113"/>
      <c r="I5" s="189" t="s">
        <v>26</v>
      </c>
      <c r="J5" s="289"/>
      <c r="K5" s="290"/>
      <c r="L5" s="290"/>
      <c r="O5" s="190"/>
    </row>
    <row r="6" spans="1:26" ht="20.100000000000001" customHeight="1">
      <c r="B6" s="186" t="s">
        <v>27</v>
      </c>
      <c r="C6" s="288"/>
      <c r="D6" s="288"/>
      <c r="E6" s="288"/>
      <c r="F6" s="288"/>
      <c r="G6" s="189" t="s">
        <v>229</v>
      </c>
      <c r="H6" s="115"/>
      <c r="Y6" s="191"/>
      <c r="Z6" s="191"/>
    </row>
    <row r="7" spans="1:26" ht="20.100000000000001" customHeight="1">
      <c r="B7" s="186" t="s">
        <v>29</v>
      </c>
      <c r="C7" s="287" t="s">
        <v>119</v>
      </c>
      <c r="D7" s="287"/>
      <c r="E7" s="287"/>
      <c r="F7" s="287"/>
      <c r="G7" s="189" t="s">
        <v>100</v>
      </c>
      <c r="H7" s="291"/>
      <c r="I7" s="292"/>
      <c r="J7" s="292"/>
      <c r="K7" s="292"/>
      <c r="L7" s="292"/>
    </row>
    <row r="8" spans="1:26" ht="12.95" customHeight="1"/>
    <row r="9" spans="1:26">
      <c r="A9" s="187" t="s">
        <v>2</v>
      </c>
      <c r="B9" s="187" t="s">
        <v>3</v>
      </c>
      <c r="C9" s="188"/>
      <c r="D9" s="188"/>
      <c r="E9" s="188"/>
      <c r="F9" s="188"/>
      <c r="G9" s="188"/>
      <c r="H9" s="188"/>
      <c r="I9" s="188"/>
      <c r="J9" s="188"/>
      <c r="K9" s="188"/>
      <c r="L9" s="188"/>
    </row>
    <row r="10" spans="1:26" ht="6" customHeight="1"/>
    <row r="11" spans="1:26" ht="15.75">
      <c r="B11" s="190" t="s">
        <v>75</v>
      </c>
      <c r="C11" s="17">
        <v>50</v>
      </c>
      <c r="E11" s="190" t="s">
        <v>76</v>
      </c>
      <c r="F11" s="23">
        <v>50</v>
      </c>
      <c r="H11" s="186" t="s">
        <v>4</v>
      </c>
      <c r="I11" s="20" t="s">
        <v>16</v>
      </c>
      <c r="J11" s="192" t="s">
        <v>85</v>
      </c>
      <c r="K11" s="193">
        <v>1.5</v>
      </c>
    </row>
    <row r="13" spans="1:26" ht="15.75">
      <c r="B13" s="190" t="s">
        <v>77</v>
      </c>
      <c r="C13" s="18">
        <v>360</v>
      </c>
      <c r="E13" s="190" t="s">
        <v>99</v>
      </c>
      <c r="F13" s="18">
        <v>1000</v>
      </c>
      <c r="H13" s="190" t="s">
        <v>59</v>
      </c>
      <c r="I13" s="194">
        <f>VLOOKUP(I11,N16:P28,2)</f>
        <v>25</v>
      </c>
      <c r="J13" s="190" t="s">
        <v>60</v>
      </c>
      <c r="K13" s="194">
        <f>VLOOKUP(I11,N16:P28,3)</f>
        <v>33</v>
      </c>
      <c r="N13" s="195" t="s">
        <v>98</v>
      </c>
    </row>
    <row r="15" spans="1:26" ht="15.75">
      <c r="B15" s="186" t="s">
        <v>6</v>
      </c>
      <c r="D15" s="19">
        <v>5</v>
      </c>
      <c r="E15" s="196" t="s">
        <v>7</v>
      </c>
      <c r="F15" s="18">
        <v>12</v>
      </c>
      <c r="H15" s="190" t="s">
        <v>63</v>
      </c>
      <c r="I15" s="197">
        <f>D15*VLOOKUP(F15,R17:S22,2)</f>
        <v>565.48667764616278</v>
      </c>
      <c r="J15" s="198" t="s">
        <v>55</v>
      </c>
      <c r="N15" s="199" t="s">
        <v>20</v>
      </c>
      <c r="O15" s="163" t="s">
        <v>231</v>
      </c>
      <c r="P15" s="163" t="s">
        <v>232</v>
      </c>
      <c r="R15" s="322" t="s">
        <v>12</v>
      </c>
      <c r="S15" s="322"/>
      <c r="U15" s="311" t="s">
        <v>317</v>
      </c>
      <c r="V15" s="323"/>
      <c r="W15" s="324"/>
      <c r="Y15" s="321" t="s">
        <v>318</v>
      </c>
      <c r="Z15" s="322"/>
    </row>
    <row r="16" spans="1:26" ht="15.75">
      <c r="D16" s="192" t="s">
        <v>58</v>
      </c>
      <c r="E16" s="22">
        <v>60000</v>
      </c>
      <c r="F16" s="191"/>
      <c r="H16" s="186" t="s">
        <v>14</v>
      </c>
      <c r="I16" s="201">
        <f>C13-E17-(0.5*F15)-IF(D22&gt;0,F22,0)</f>
        <v>288</v>
      </c>
      <c r="J16" s="202" t="s">
        <v>81</v>
      </c>
      <c r="N16" s="203" t="s">
        <v>11</v>
      </c>
      <c r="O16" s="203">
        <v>20</v>
      </c>
      <c r="P16" s="203">
        <v>28</v>
      </c>
      <c r="R16" s="163" t="s">
        <v>230</v>
      </c>
      <c r="S16" s="163" t="s">
        <v>149</v>
      </c>
      <c r="U16" s="163" t="s">
        <v>230</v>
      </c>
      <c r="V16" s="163" t="s">
        <v>237</v>
      </c>
      <c r="W16" s="163" t="s">
        <v>149</v>
      </c>
      <c r="Y16" s="163" t="s">
        <v>230</v>
      </c>
      <c r="Z16" s="163" t="s">
        <v>149</v>
      </c>
    </row>
    <row r="17" spans="1:28" ht="15.75">
      <c r="D17" s="192" t="s">
        <v>71</v>
      </c>
      <c r="E17" s="18">
        <v>50</v>
      </c>
      <c r="F17" s="191"/>
      <c r="H17" s="204" t="s">
        <v>62</v>
      </c>
      <c r="I17" s="205">
        <f>I15/F13/I16</f>
        <v>1.9634954084936209E-3</v>
      </c>
      <c r="J17" s="202" t="s">
        <v>68</v>
      </c>
      <c r="N17" s="203" t="s">
        <v>16</v>
      </c>
      <c r="O17" s="203">
        <v>25</v>
      </c>
      <c r="P17" s="203">
        <v>33</v>
      </c>
      <c r="R17" s="203">
        <v>8</v>
      </c>
      <c r="S17" s="206">
        <f t="shared" ref="S17:S22" si="0">(R17/2)^2*PI()</f>
        <v>50.26548245743669</v>
      </c>
      <c r="U17" s="207">
        <v>12</v>
      </c>
      <c r="V17" s="207">
        <v>11.6</v>
      </c>
      <c r="W17" s="206">
        <f>PI()*V17^2/4</f>
        <v>105.68317686676065</v>
      </c>
      <c r="Y17" s="207">
        <v>6</v>
      </c>
      <c r="Z17" s="206">
        <f>PI()*Y17^2/4</f>
        <v>28.274333882308138</v>
      </c>
    </row>
    <row r="18" spans="1:28">
      <c r="D18" s="191"/>
      <c r="E18" s="196"/>
      <c r="F18" s="191"/>
      <c r="H18" s="190" t="s">
        <v>15</v>
      </c>
      <c r="I18" s="201">
        <f>0.9*I16</f>
        <v>259.2</v>
      </c>
      <c r="J18" s="202" t="s">
        <v>244</v>
      </c>
      <c r="N18" s="203" t="s">
        <v>5</v>
      </c>
      <c r="O18" s="203">
        <v>30</v>
      </c>
      <c r="P18" s="203">
        <v>38</v>
      </c>
      <c r="R18" s="203">
        <v>12</v>
      </c>
      <c r="S18" s="206">
        <f t="shared" si="0"/>
        <v>113.09733552923255</v>
      </c>
      <c r="U18" s="207">
        <v>16</v>
      </c>
      <c r="V18" s="207">
        <v>15.6</v>
      </c>
      <c r="W18" s="206">
        <f>PI()*V18^2/4</f>
        <v>191.13449704440299</v>
      </c>
      <c r="Y18" s="207">
        <v>8</v>
      </c>
      <c r="Z18" s="206">
        <f>PI()*Y18^2/4</f>
        <v>50.26548245743669</v>
      </c>
    </row>
    <row r="19" spans="1:28">
      <c r="B19" s="186" t="s">
        <v>8</v>
      </c>
      <c r="D19" s="191"/>
      <c r="E19" s="117" t="s">
        <v>242</v>
      </c>
      <c r="F19" s="191"/>
      <c r="N19" s="203" t="s">
        <v>17</v>
      </c>
      <c r="O19" s="203">
        <v>35</v>
      </c>
      <c r="P19" s="203">
        <v>43</v>
      </c>
      <c r="R19" s="203">
        <v>16</v>
      </c>
      <c r="S19" s="206">
        <f t="shared" si="0"/>
        <v>201.06192982974676</v>
      </c>
      <c r="U19" s="203">
        <v>20</v>
      </c>
      <c r="V19" s="203">
        <v>19.100000000000001</v>
      </c>
      <c r="W19" s="206">
        <f>PI()*V19^2/4</f>
        <v>286.52110398902317</v>
      </c>
      <c r="Y19" s="203">
        <v>10</v>
      </c>
      <c r="Z19" s="206">
        <f>PI()*Y19^2/4</f>
        <v>78.539816339744831</v>
      </c>
    </row>
    <row r="20" spans="1:28">
      <c r="D20" s="191"/>
      <c r="E20" s="196"/>
      <c r="F20" s="191"/>
      <c r="I20" s="193"/>
      <c r="N20" s="203" t="s">
        <v>18</v>
      </c>
      <c r="O20" s="203">
        <v>40</v>
      </c>
      <c r="P20" s="203">
        <v>48</v>
      </c>
      <c r="R20" s="203">
        <v>20</v>
      </c>
      <c r="S20" s="206">
        <f t="shared" si="0"/>
        <v>314.15926535897933</v>
      </c>
      <c r="Y20" s="207">
        <v>12</v>
      </c>
      <c r="Z20" s="206">
        <f>PI()*Y20^2/4</f>
        <v>113.09733552923255</v>
      </c>
    </row>
    <row r="21" spans="1:28">
      <c r="C21" s="190" t="s">
        <v>30</v>
      </c>
      <c r="D21" s="190" t="s">
        <v>310</v>
      </c>
      <c r="E21" s="257" t="s">
        <v>312</v>
      </c>
      <c r="F21" s="191"/>
      <c r="I21" s="193"/>
      <c r="N21" s="203" t="s">
        <v>19</v>
      </c>
      <c r="O21" s="203">
        <v>45</v>
      </c>
      <c r="P21" s="203">
        <v>53</v>
      </c>
      <c r="R21" s="203">
        <v>25</v>
      </c>
      <c r="S21" s="206">
        <f t="shared" si="0"/>
        <v>490.87385212340519</v>
      </c>
      <c r="Y21" s="203">
        <v>14</v>
      </c>
      <c r="Z21" s="206">
        <f>PI()*Y21^2/4</f>
        <v>153.93804002589985</v>
      </c>
    </row>
    <row r="22" spans="1:28" ht="15.75">
      <c r="D22" s="19">
        <v>1</v>
      </c>
      <c r="E22" s="208" t="s">
        <v>315</v>
      </c>
      <c r="F22" s="18">
        <v>16</v>
      </c>
      <c r="H22" s="190" t="s">
        <v>64</v>
      </c>
      <c r="I22" s="197">
        <f>D22*(IF(E21="Combar",VLOOKUP(F22,U17:W19,3,FALSE),VLOOKUP(F23,Y17:Z21,2,FALSE)))</f>
        <v>191.13449704440299</v>
      </c>
      <c r="J22" s="198" t="s">
        <v>38</v>
      </c>
      <c r="N22" s="203" t="s">
        <v>21</v>
      </c>
      <c r="O22" s="203">
        <v>50</v>
      </c>
      <c r="P22" s="203">
        <v>58</v>
      </c>
      <c r="R22" s="203">
        <v>32</v>
      </c>
      <c r="S22" s="206">
        <f t="shared" si="0"/>
        <v>804.24771931898704</v>
      </c>
    </row>
    <row r="23" spans="1:28" ht="15.75">
      <c r="D23" s="209"/>
      <c r="E23" s="208" t="s">
        <v>316</v>
      </c>
      <c r="F23" s="18">
        <v>12</v>
      </c>
      <c r="H23" s="190"/>
      <c r="I23" s="197"/>
      <c r="J23" s="198"/>
      <c r="N23" s="203" t="s">
        <v>33</v>
      </c>
      <c r="O23" s="203">
        <v>55</v>
      </c>
      <c r="P23" s="203">
        <v>63</v>
      </c>
      <c r="V23" s="210" t="s">
        <v>86</v>
      </c>
      <c r="W23" s="211"/>
      <c r="AA23" s="190"/>
    </row>
    <row r="24" spans="1:28" ht="15.75">
      <c r="C24" s="190"/>
      <c r="D24" s="192" t="s">
        <v>61</v>
      </c>
      <c r="E24" s="22">
        <v>50000</v>
      </c>
      <c r="F24" s="193"/>
      <c r="H24" s="204" t="s">
        <v>65</v>
      </c>
      <c r="I24" s="205">
        <f>I22/F13/E26</f>
        <v>1.91134497044403E-3</v>
      </c>
      <c r="N24" s="203" t="s">
        <v>37</v>
      </c>
      <c r="O24" s="203">
        <v>60</v>
      </c>
      <c r="P24" s="203">
        <v>68</v>
      </c>
      <c r="R24" s="311" t="s">
        <v>32</v>
      </c>
      <c r="S24" s="312"/>
      <c r="V24" s="212" t="s">
        <v>87</v>
      </c>
      <c r="W24" s="213"/>
      <c r="AA24" s="190"/>
      <c r="AB24" s="190"/>
    </row>
    <row r="25" spans="1:28" ht="15.75">
      <c r="C25" s="190"/>
      <c r="D25" s="192" t="s">
        <v>314</v>
      </c>
      <c r="E25" s="22">
        <v>150000</v>
      </c>
      <c r="F25" s="193"/>
      <c r="H25" s="204"/>
      <c r="I25" s="205"/>
      <c r="N25" s="203" t="s">
        <v>34</v>
      </c>
      <c r="O25" s="203">
        <v>70</v>
      </c>
      <c r="P25" s="203">
        <v>78</v>
      </c>
      <c r="R25" s="163" t="s">
        <v>230</v>
      </c>
      <c r="S25" s="163" t="s">
        <v>149</v>
      </c>
      <c r="V25" s="163" t="s">
        <v>230</v>
      </c>
      <c r="W25" s="200" t="s">
        <v>238</v>
      </c>
      <c r="AA25" s="214"/>
      <c r="AB25" s="214"/>
    </row>
    <row r="26" spans="1:28" ht="15.75">
      <c r="C26" s="190"/>
      <c r="D26" s="192" t="s">
        <v>72</v>
      </c>
      <c r="E26" s="18">
        <v>100</v>
      </c>
      <c r="F26" s="191"/>
      <c r="H26" s="190" t="s">
        <v>88</v>
      </c>
      <c r="I26" s="261">
        <f>I22/(E26/1000)</f>
        <v>1911.3449704440297</v>
      </c>
      <c r="J26" s="190" t="s">
        <v>69</v>
      </c>
      <c r="K26" s="215">
        <f>IF(E21="Combar",VLOOKUP(E19,V36:W37,2),X36)</f>
        <v>160</v>
      </c>
      <c r="L26" s="190" t="s">
        <v>119</v>
      </c>
      <c r="N26" s="203" t="s">
        <v>35</v>
      </c>
      <c r="O26" s="203">
        <v>80</v>
      </c>
      <c r="P26" s="203">
        <v>88</v>
      </c>
      <c r="R26" s="203">
        <v>12</v>
      </c>
      <c r="S26" s="206">
        <f>(R26/2)^2*PI()</f>
        <v>113.09733552923255</v>
      </c>
      <c r="V26" s="207">
        <v>12</v>
      </c>
      <c r="W26" s="216">
        <v>200</v>
      </c>
      <c r="AA26" s="214"/>
      <c r="AB26" s="214"/>
    </row>
    <row r="27" spans="1:28">
      <c r="I27" s="193"/>
      <c r="N27" s="203" t="s">
        <v>36</v>
      </c>
      <c r="O27" s="203">
        <v>90</v>
      </c>
      <c r="P27" s="203">
        <v>98</v>
      </c>
      <c r="R27" s="203">
        <v>16</v>
      </c>
      <c r="S27" s="206">
        <f>(R27/2)^2*PI()</f>
        <v>201.06192982974676</v>
      </c>
      <c r="V27" s="207">
        <v>16</v>
      </c>
      <c r="W27" s="216">
        <v>200</v>
      </c>
      <c r="AB27" s="214"/>
    </row>
    <row r="28" spans="1:28" ht="15.75">
      <c r="C28" s="190" t="s">
        <v>31</v>
      </c>
      <c r="D28" s="20">
        <v>0</v>
      </c>
      <c r="E28" s="196" t="s">
        <v>7</v>
      </c>
      <c r="F28" s="18">
        <v>25</v>
      </c>
      <c r="H28" s="190" t="s">
        <v>66</v>
      </c>
      <c r="I28" s="197">
        <f>D28*VLOOKUP(F28,R26:S30,2)</f>
        <v>0</v>
      </c>
      <c r="J28" s="198" t="s">
        <v>39</v>
      </c>
      <c r="N28" s="191"/>
      <c r="O28" s="191"/>
      <c r="P28" s="191"/>
      <c r="R28" s="191">
        <v>20</v>
      </c>
      <c r="S28" s="206">
        <v>314</v>
      </c>
      <c r="V28" s="203">
        <v>20</v>
      </c>
      <c r="W28" s="216">
        <v>200</v>
      </c>
      <c r="AB28" s="214"/>
    </row>
    <row r="29" spans="1:28" ht="15.75">
      <c r="D29" s="192" t="s">
        <v>61</v>
      </c>
      <c r="E29" s="22">
        <v>60000</v>
      </c>
      <c r="F29" s="193"/>
      <c r="H29" s="204" t="s">
        <v>67</v>
      </c>
      <c r="I29" s="205">
        <f>I28/F13/E30</f>
        <v>0</v>
      </c>
      <c r="N29" s="191"/>
      <c r="O29" s="191"/>
      <c r="P29" s="191"/>
      <c r="R29" s="203">
        <v>25</v>
      </c>
      <c r="S29" s="206">
        <f>(R29/2)^2*PI()</f>
        <v>490.87385212340519</v>
      </c>
      <c r="V29" s="203">
        <v>25</v>
      </c>
      <c r="W29" s="216">
        <v>166</v>
      </c>
      <c r="AB29" s="214"/>
    </row>
    <row r="30" spans="1:28" ht="15.75">
      <c r="D30" s="192" t="s">
        <v>72</v>
      </c>
      <c r="E30" s="18">
        <v>250</v>
      </c>
      <c r="F30" s="191"/>
      <c r="H30" s="190" t="s">
        <v>89</v>
      </c>
      <c r="I30" s="261">
        <f>I28/(E30/1000)</f>
        <v>0</v>
      </c>
      <c r="J30" s="190" t="s">
        <v>70</v>
      </c>
      <c r="K30" s="215">
        <f>VLOOKUP(F28,V26:W30,2)</f>
        <v>166</v>
      </c>
      <c r="R30" s="203">
        <v>32</v>
      </c>
      <c r="S30" s="206">
        <f>(R30/2)^2*PI()</f>
        <v>804.24771931898704</v>
      </c>
      <c r="V30" s="203">
        <v>32</v>
      </c>
      <c r="W30" s="216">
        <v>130</v>
      </c>
      <c r="AB30" s="214"/>
    </row>
    <row r="31" spans="1:28" ht="12" customHeight="1"/>
    <row r="32" spans="1:28">
      <c r="A32" s="187" t="s">
        <v>9</v>
      </c>
      <c r="B32" s="187" t="s">
        <v>0</v>
      </c>
      <c r="C32" s="188"/>
      <c r="D32" s="188"/>
      <c r="E32" s="188"/>
      <c r="F32" s="188"/>
      <c r="G32" s="188"/>
      <c r="H32" s="188"/>
      <c r="I32" s="188"/>
      <c r="J32" s="188"/>
      <c r="K32" s="188"/>
      <c r="L32" s="188"/>
    </row>
    <row r="33" spans="1:24" ht="15" customHeight="1">
      <c r="N33" s="217" t="s">
        <v>271</v>
      </c>
      <c r="O33" s="218"/>
      <c r="P33" s="218"/>
      <c r="Q33" s="218"/>
      <c r="R33" s="211"/>
    </row>
    <row r="34" spans="1:24">
      <c r="N34" s="219"/>
      <c r="O34" s="220"/>
      <c r="P34" s="220"/>
      <c r="Q34" s="220"/>
      <c r="R34" s="221"/>
      <c r="V34" s="318" t="s">
        <v>13</v>
      </c>
      <c r="W34" s="319"/>
      <c r="X34" s="320"/>
    </row>
    <row r="35" spans="1:24">
      <c r="N35" s="222"/>
      <c r="R35" s="223"/>
      <c r="V35" s="224" t="s">
        <v>311</v>
      </c>
      <c r="W35" s="224" t="s">
        <v>312</v>
      </c>
      <c r="X35" s="224" t="s">
        <v>313</v>
      </c>
    </row>
    <row r="36" spans="1:24">
      <c r="N36" s="222"/>
      <c r="R36" s="223"/>
      <c r="V36" s="225" t="s">
        <v>242</v>
      </c>
      <c r="W36" s="226">
        <v>160</v>
      </c>
      <c r="X36" s="226">
        <v>435</v>
      </c>
    </row>
    <row r="37" spans="1:24">
      <c r="N37" s="222"/>
      <c r="R37" s="223"/>
      <c r="V37" s="225" t="s">
        <v>243</v>
      </c>
      <c r="W37" s="226">
        <v>200</v>
      </c>
      <c r="X37" s="226">
        <v>435</v>
      </c>
    </row>
    <row r="38" spans="1:24">
      <c r="N38" s="222"/>
      <c r="R38" s="223"/>
    </row>
    <row r="39" spans="1:24" ht="14.25">
      <c r="B39" s="204" t="s">
        <v>22</v>
      </c>
      <c r="C39" s="21">
        <v>1</v>
      </c>
      <c r="D39" s="227"/>
      <c r="N39" s="228" t="s">
        <v>80</v>
      </c>
      <c r="O39" s="229">
        <f>0.138/K11*C40*((100*I17*E16/200000*I13)^(1/3))*F13*I16/1000</f>
        <v>55.265249414872024</v>
      </c>
      <c r="Q39" s="313">
        <f>O39/C42</f>
        <v>1.0005411259194694</v>
      </c>
      <c r="R39" s="314"/>
    </row>
    <row r="40" spans="1:24">
      <c r="B40" s="204" t="s">
        <v>23</v>
      </c>
      <c r="C40" s="230">
        <f>1+SQRT(200/I16)</f>
        <v>1.8333333333333335</v>
      </c>
      <c r="N40" s="231"/>
      <c r="O40" s="232"/>
      <c r="P40" s="232"/>
      <c r="Q40" s="232"/>
      <c r="R40" s="233"/>
    </row>
    <row r="41" spans="1:24" ht="12.75" customHeight="1">
      <c r="C41" s="234"/>
    </row>
    <row r="42" spans="1:24" ht="18" customHeight="1">
      <c r="B42" s="235" t="s">
        <v>96</v>
      </c>
      <c r="C42" s="236">
        <f>C39/424/K11*C40*((100*I17*E16*I13)^(1/3))*F13*I16/1000</f>
        <v>55.23536012983454</v>
      </c>
      <c r="D42" s="259" t="s">
        <v>320</v>
      </c>
      <c r="E42" s="258" t="s">
        <v>319</v>
      </c>
      <c r="F42" s="255">
        <f>+F11</f>
        <v>50</v>
      </c>
      <c r="G42" s="260" t="str">
        <f>+IF(C42&lt;F42,"↯","✓")</f>
        <v>✓</v>
      </c>
    </row>
    <row r="43" spans="1:24" ht="12" customHeight="1">
      <c r="G43" s="190"/>
    </row>
    <row r="44" spans="1:24">
      <c r="A44" s="187" t="s">
        <v>91</v>
      </c>
      <c r="B44" s="187" t="s">
        <v>10</v>
      </c>
      <c r="C44" s="188"/>
      <c r="D44" s="188"/>
      <c r="E44" s="188"/>
      <c r="F44" s="188"/>
      <c r="G44" s="188"/>
      <c r="H44" s="188"/>
      <c r="I44" s="188"/>
      <c r="J44" s="188"/>
      <c r="K44" s="188"/>
      <c r="L44" s="188"/>
    </row>
    <row r="45" spans="1:24" ht="6" customHeight="1"/>
    <row r="46" spans="1:24" ht="15.75">
      <c r="F46" s="190" t="s">
        <v>41</v>
      </c>
      <c r="G46" s="190" t="s">
        <v>42</v>
      </c>
    </row>
    <row r="48" spans="1:24" ht="15.75">
      <c r="F48" s="190" t="s">
        <v>90</v>
      </c>
      <c r="G48" s="190" t="s">
        <v>82</v>
      </c>
    </row>
    <row r="49" spans="2:11" ht="15.75">
      <c r="F49" s="190" t="s">
        <v>45</v>
      </c>
      <c r="G49" s="190" t="s">
        <v>92</v>
      </c>
      <c r="K49" s="190" t="s">
        <v>84</v>
      </c>
    </row>
    <row r="50" spans="2:11" ht="15.75">
      <c r="F50" s="190" t="s">
        <v>43</v>
      </c>
      <c r="G50" s="190" t="s">
        <v>44</v>
      </c>
    </row>
    <row r="51" spans="2:11">
      <c r="F51" s="190"/>
    </row>
    <row r="52" spans="2:11">
      <c r="B52" s="190"/>
      <c r="C52" s="215"/>
    </row>
    <row r="53" spans="2:11">
      <c r="C53" s="215"/>
    </row>
    <row r="54" spans="2:11" ht="12.75" customHeight="1">
      <c r="C54" s="215"/>
    </row>
    <row r="55" spans="2:11" ht="15.75">
      <c r="F55" s="190" t="s">
        <v>46</v>
      </c>
      <c r="G55" s="190" t="s">
        <v>47</v>
      </c>
      <c r="J55" s="202" t="s">
        <v>83</v>
      </c>
    </row>
    <row r="56" spans="2:11" ht="12.75" customHeight="1">
      <c r="C56" s="215"/>
    </row>
    <row r="57" spans="2:11" ht="12.75" customHeight="1">
      <c r="C57" s="215"/>
      <c r="F57" s="237" t="s">
        <v>48</v>
      </c>
      <c r="G57" s="202" t="s">
        <v>49</v>
      </c>
    </row>
    <row r="58" spans="2:11" ht="15" customHeight="1">
      <c r="B58" s="190" t="s">
        <v>73</v>
      </c>
      <c r="C58" s="238">
        <f>E16*I15*(0.8*I16)^2/10^6/10^6</f>
        <v>1.8011031164422397</v>
      </c>
    </row>
    <row r="59" spans="2:11" ht="12.75" customHeight="1">
      <c r="B59" s="204" t="s">
        <v>74</v>
      </c>
      <c r="C59" s="239">
        <f>MIN(E59,7)</f>
        <v>2.4200735410961491</v>
      </c>
      <c r="D59" s="192" t="s">
        <v>78</v>
      </c>
      <c r="E59" s="240">
        <f>2.3+(2*C58/30)</f>
        <v>2.4200735410961491</v>
      </c>
      <c r="F59" s="241"/>
    </row>
    <row r="60" spans="2:11" ht="13.5" customHeight="1">
      <c r="B60" s="204"/>
      <c r="C60" s="242"/>
      <c r="E60" s="243"/>
      <c r="G60" s="192"/>
    </row>
    <row r="61" spans="2:11" ht="12.75" customHeight="1">
      <c r="B61" s="190" t="s">
        <v>93</v>
      </c>
      <c r="C61" s="244">
        <f>MIN(K26,E61)</f>
        <v>121.00367705480745</v>
      </c>
      <c r="D61" s="196"/>
      <c r="E61" s="245">
        <f>C59*IF(E21="Combar",E24,E25)/1000</f>
        <v>121.00367705480745</v>
      </c>
      <c r="I61" s="190"/>
    </row>
    <row r="62" spans="2:11" ht="13.5" customHeight="1">
      <c r="B62" s="190"/>
      <c r="C62" s="246"/>
      <c r="D62" s="196"/>
      <c r="E62" s="247"/>
      <c r="F62" s="227"/>
      <c r="G62" s="215"/>
      <c r="H62" s="196"/>
      <c r="I62" s="208"/>
    </row>
    <row r="63" spans="2:11" ht="12.75" customHeight="1">
      <c r="B63" s="190" t="s">
        <v>70</v>
      </c>
      <c r="C63" s="244">
        <f>MIN(K30,E63)</f>
        <v>145.20441246576894</v>
      </c>
      <c r="D63" s="196"/>
      <c r="E63" s="245">
        <f>C59*E29/1000</f>
        <v>145.20441246576894</v>
      </c>
      <c r="F63" s="227"/>
      <c r="G63" s="215"/>
      <c r="H63" s="196"/>
      <c r="I63" s="190"/>
    </row>
    <row r="64" spans="2:11" ht="18" customHeight="1">
      <c r="B64" s="190"/>
      <c r="C64" s="246"/>
      <c r="D64" s="196"/>
      <c r="E64" s="247"/>
      <c r="F64" s="208"/>
      <c r="G64" s="215"/>
      <c r="H64" s="196"/>
      <c r="I64" s="246"/>
      <c r="J64" s="190"/>
    </row>
    <row r="65" spans="1:12" ht="15" customHeight="1">
      <c r="B65" s="190" t="s">
        <v>50</v>
      </c>
      <c r="C65" s="248">
        <f>IF(E65&lt;20,20,IF(E65&gt;50,50,E65))</f>
        <v>50</v>
      </c>
      <c r="D65" s="249" t="s">
        <v>79</v>
      </c>
      <c r="E65" s="250">
        <f>ATAN((C11/F11*(I26*(IF(E21="Combar",E24,E25))+I30*E29)/I15/E16)^(1/3))/PI()*180</f>
        <v>54.698088900290443</v>
      </c>
      <c r="F65" s="241"/>
    </row>
    <row r="66" spans="1:12" ht="12.75" customHeight="1">
      <c r="B66" s="190" t="s">
        <v>52</v>
      </c>
      <c r="C66" s="230">
        <f>TAN(C65/180*PI())</f>
        <v>1.19175359259421</v>
      </c>
      <c r="H66" s="251"/>
      <c r="I66" s="208"/>
      <c r="J66" s="208"/>
    </row>
    <row r="67" spans="1:12" ht="12.75" customHeight="1">
      <c r="B67" s="190" t="s">
        <v>51</v>
      </c>
      <c r="C67" s="230">
        <f>1/C66</f>
        <v>0.83909963117728004</v>
      </c>
    </row>
    <row r="69" spans="1:12" ht="14.25">
      <c r="B69" s="195" t="s">
        <v>94</v>
      </c>
      <c r="C69" s="252">
        <f>(I26*C61)/1000*I18*C67/1000</f>
        <v>50.302106608543966</v>
      </c>
    </row>
    <row r="70" spans="1:12" ht="17.25" customHeight="1">
      <c r="B70" s="195"/>
      <c r="C70" s="252"/>
    </row>
    <row r="71" spans="1:12" ht="14.25">
      <c r="B71" s="195" t="s">
        <v>95</v>
      </c>
      <c r="C71" s="252">
        <f>IF(E21="Combar",(I30*C63)/1000*I18*C67/1000,0)</f>
        <v>0</v>
      </c>
    </row>
    <row r="73" spans="1:12" ht="18" customHeight="1">
      <c r="B73" s="195" t="s">
        <v>24</v>
      </c>
      <c r="C73" s="253">
        <f>MIN(C69+C71,F73)</f>
        <v>50.302106608543966</v>
      </c>
      <c r="D73" s="254" t="s">
        <v>57</v>
      </c>
      <c r="E73" s="208" t="s">
        <v>56</v>
      </c>
      <c r="F73" s="255">
        <f>1.1*F13*I18*K13^(2/3)/K11/(C67+C66)/1000</f>
        <v>962.94285085056822</v>
      </c>
    </row>
    <row r="75" spans="1:12" ht="18" customHeight="1">
      <c r="B75" s="235" t="s">
        <v>40</v>
      </c>
      <c r="C75" s="256">
        <f>C42+C73</f>
        <v>105.5374667383785</v>
      </c>
      <c r="D75" s="259" t="s">
        <v>320</v>
      </c>
      <c r="E75" s="258" t="s">
        <v>319</v>
      </c>
      <c r="F75" s="255">
        <f>+F11</f>
        <v>50</v>
      </c>
      <c r="G75" s="260" t="str">
        <f>+IF(C75&lt;F75,"↯","✓")</f>
        <v>✓</v>
      </c>
      <c r="H75" s="190" t="s">
        <v>53</v>
      </c>
      <c r="I75" s="190" t="s">
        <v>54</v>
      </c>
    </row>
    <row r="76" spans="1:12" ht="12" customHeight="1"/>
    <row r="77" spans="1:12" ht="149.1" customHeight="1">
      <c r="A77" s="315" t="s">
        <v>228</v>
      </c>
      <c r="B77" s="316"/>
      <c r="C77" s="316"/>
      <c r="D77" s="316"/>
      <c r="E77" s="316"/>
      <c r="F77" s="316"/>
      <c r="G77" s="316"/>
      <c r="H77" s="316"/>
      <c r="I77" s="316"/>
      <c r="J77" s="316"/>
      <c r="K77" s="316"/>
      <c r="L77" s="317"/>
    </row>
  </sheetData>
  <sheetProtection algorithmName="SHA-512" hashValue="5el9nYzESteEdj2ax5IJNYfMHDqO82fx56KxjLWOHqGHbxQRouq4EKdGwuOlruSEgp7VJtH34/XbOwvOgl4nDw==" saltValue="c7pyXMoIFQVUIKLt2zF7VA==" spinCount="100000" sheet="1" selectLockedCells="1"/>
  <mergeCells count="13">
    <mergeCell ref="C7:F7"/>
    <mergeCell ref="A2:L2"/>
    <mergeCell ref="C5:F5"/>
    <mergeCell ref="C6:F6"/>
    <mergeCell ref="J5:L5"/>
    <mergeCell ref="H7:L7"/>
    <mergeCell ref="R24:S24"/>
    <mergeCell ref="Q39:R39"/>
    <mergeCell ref="A77:L77"/>
    <mergeCell ref="V34:X34"/>
    <mergeCell ref="Y15:Z15"/>
    <mergeCell ref="R15:S15"/>
    <mergeCell ref="U15:W15"/>
  </mergeCells>
  <conditionalFormatting sqref="B42:G42">
    <cfRule type="expression" dxfId="13" priority="2">
      <formula>+IF($C$42&lt;$F$42,TRUE,FALSE)</formula>
    </cfRule>
  </conditionalFormatting>
  <conditionalFormatting sqref="B75:G75">
    <cfRule type="expression" dxfId="12" priority="8">
      <formula>+IF($C$75&lt;$F$75,TRUE,FALSE)</formula>
    </cfRule>
  </conditionalFormatting>
  <conditionalFormatting sqref="C69 C71">
    <cfRule type="cellIs" dxfId="11" priority="16" operator="lessThan">
      <formula>$F$73</formula>
    </cfRule>
  </conditionalFormatting>
  <conditionalFormatting sqref="C28:K30">
    <cfRule type="expression" dxfId="10" priority="13">
      <formula>IF($E$21&lt;&gt;"Combar",TRUE,FALSE)</formula>
    </cfRule>
  </conditionalFormatting>
  <conditionalFormatting sqref="D42">
    <cfRule type="expression" dxfId="9" priority="1">
      <formula>+IF($C$42&lt;$F$42,TRUE,FALSE)</formula>
    </cfRule>
    <cfRule type="expression" dxfId="8" priority="3">
      <formula>+IF($C$75&lt;$F$75,TRUE,FALSE)</formula>
    </cfRule>
  </conditionalFormatting>
  <conditionalFormatting sqref="D73">
    <cfRule type="expression" dxfId="7" priority="7">
      <formula>+IF($C$73&gt;$F$73,TRUE,FALSE)</formula>
    </cfRule>
  </conditionalFormatting>
  <conditionalFormatting sqref="D75">
    <cfRule type="expression" dxfId="6" priority="5">
      <formula>+IF($C$75&lt;$F$75,TRUE,FALSE)</formula>
    </cfRule>
  </conditionalFormatting>
  <conditionalFormatting sqref="D24:E24">
    <cfRule type="expression" dxfId="5" priority="12">
      <formula>IF($E$21&lt;&gt;"Combar",TRUE,FALSE)</formula>
    </cfRule>
  </conditionalFormatting>
  <conditionalFormatting sqref="D25:E25">
    <cfRule type="expression" dxfId="4" priority="11">
      <formula>IF($E$21="Combar",TRUE,FALSE)</formula>
    </cfRule>
  </conditionalFormatting>
  <conditionalFormatting sqref="D42:G42">
    <cfRule type="expression" dxfId="3" priority="4">
      <formula>+IF($C$75&lt;$F$75,TRUE,FALSE)</formula>
    </cfRule>
  </conditionalFormatting>
  <conditionalFormatting sqref="E22:F22">
    <cfRule type="expression" dxfId="2" priority="9">
      <formula>IF($E$21&lt;&gt;"Combar",TRUE,FALSE)</formula>
    </cfRule>
  </conditionalFormatting>
  <conditionalFormatting sqref="E23:F23">
    <cfRule type="expression" dxfId="1" priority="10">
      <formula>IF($E$21="Combar",TRUE,FALSE)</formula>
    </cfRule>
  </conditionalFormatting>
  <conditionalFormatting sqref="F73">
    <cfRule type="cellIs" dxfId="0" priority="14" operator="lessThan">
      <formula>$C$69</formula>
    </cfRule>
  </conditionalFormatting>
  <dataValidations disablePrompts="1" count="11">
    <dataValidation type="list" allowBlank="1" showInputMessage="1" showErrorMessage="1" sqref="F28" xr:uid="{00000000-0002-0000-0200-000003000000}">
      <formula1>$V$26:$V$30</formula1>
    </dataValidation>
    <dataValidation type="list" allowBlank="1" showInputMessage="1" showErrorMessage="1" sqref="F22" xr:uid="{00000000-0002-0000-0200-000004000000}">
      <formula1>$U$17:$U$19</formula1>
    </dataValidation>
    <dataValidation type="list" allowBlank="1" showDropDown="1" showInputMessage="1" showErrorMessage="1" sqref="E29" xr:uid="{00000000-0002-0000-0200-000005000000}">
      <formula1>"60000"</formula1>
    </dataValidation>
    <dataValidation type="list" allowBlank="1" showInputMessage="1" showErrorMessage="1" sqref="E16" xr:uid="{00000000-0002-0000-0200-000006000000}">
      <formula1>"60000,50000"</formula1>
    </dataValidation>
    <dataValidation type="list" allowBlank="1" showInputMessage="1" showErrorMessage="1" sqref="E21" xr:uid="{A24AF878-8FF8-4CF9-9F50-F7C325BADFE8}">
      <formula1>"Combar, NR BSt 1.4482"</formula1>
    </dataValidation>
    <dataValidation type="list" allowBlank="1" showInputMessage="1" showErrorMessage="1" sqref="E19" xr:uid="{F07789E5-BCA0-42D6-84C2-B1937993B1D6}">
      <formula1>$V$36:$V$37</formula1>
    </dataValidation>
    <dataValidation type="list" allowBlank="1" showInputMessage="1" showErrorMessage="1" sqref="F15" xr:uid="{00000000-0002-0000-0200-000002000000}">
      <formula1>$R$17:$R$22</formula1>
    </dataValidation>
    <dataValidation type="list" allowBlank="1" showInputMessage="1" showErrorMessage="1" sqref="E24" xr:uid="{BA94AE07-00A6-4FE3-BE30-B50DABD2FAB5}">
      <formula1>"50000,55000"</formula1>
    </dataValidation>
    <dataValidation type="list" allowBlank="1" showInputMessage="1" showErrorMessage="1" sqref="E25" xr:uid="{B3FF52D1-0C2F-4205-9544-6E5EFC620984}">
      <formula1>"150000,160000,170000,180000,190000,200000"</formula1>
    </dataValidation>
    <dataValidation type="list" allowBlank="1" showInputMessage="1" showErrorMessage="1" sqref="I11" xr:uid="{00000000-0002-0000-0200-000000000000}">
      <formula1>$N$16:$N$28</formula1>
    </dataValidation>
    <dataValidation type="list" allowBlank="1" showInputMessage="1" showErrorMessage="1" sqref="F23" xr:uid="{47C9F36B-0AC7-48BC-8BEF-05EC808F49D7}">
      <formula1>$Y$17:$Y$21</formula1>
    </dataValidation>
  </dataValidations>
  <pageMargins left="0.78740157480314965" right="0.78740157480314965" top="0.94488188976377963" bottom="0.78740157480314965" header="0.51181102362204722" footer="0.51181102362204722"/>
  <pageSetup paperSize="9" scale="59" orientation="portrait" horizontalDpi="360" verticalDpi="360" r:id="rId1"/>
  <headerFooter>
    <oddFooter>&amp;L&amp;8&amp;F&amp;C
&amp;R&amp;8Bemessungshilfe Schöck Combar® V 2.2</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pageSetUpPr fitToPage="1"/>
  </sheetPr>
  <dimension ref="A1:X55"/>
  <sheetViews>
    <sheetView showGridLines="0" showRuler="0" zoomScale="85" zoomScaleNormal="85" zoomScalePageLayoutView="70" workbookViewId="0">
      <selection activeCell="C5" sqref="C5:F5"/>
    </sheetView>
  </sheetViews>
  <sheetFormatPr baseColWidth="10" defaultColWidth="14.85546875" defaultRowHeight="12.75"/>
  <cols>
    <col min="1" max="1" width="3.42578125" style="53" customWidth="1"/>
    <col min="2" max="2" width="14.85546875" style="53" customWidth="1"/>
    <col min="3" max="3" width="15.42578125" style="53" customWidth="1"/>
    <col min="4" max="4" width="10.85546875" style="53" customWidth="1"/>
    <col min="5" max="5" width="14.42578125" style="53" customWidth="1"/>
    <col min="6" max="8" width="10.85546875" style="53" customWidth="1"/>
    <col min="9" max="9" width="14.7109375" style="53" customWidth="1"/>
    <col min="10" max="11" width="10.85546875" style="53" customWidth="1"/>
    <col min="12" max="14" width="8.85546875" style="53" customWidth="1"/>
    <col min="15" max="15" width="9" style="53" customWidth="1"/>
    <col min="16" max="16" width="14.85546875" style="53" customWidth="1"/>
    <col min="17" max="17" width="19.7109375" style="53" customWidth="1"/>
    <col min="18" max="25" width="14.85546875" style="53" customWidth="1"/>
    <col min="26" max="16384" width="14.85546875" style="53"/>
  </cols>
  <sheetData>
    <row r="1" spans="1:24" ht="12.75" customHeight="1"/>
    <row r="2" spans="1:24" ht="50.1" customHeight="1">
      <c r="A2" s="284" t="s">
        <v>267</v>
      </c>
      <c r="B2" s="285"/>
      <c r="C2" s="285"/>
      <c r="D2" s="285"/>
      <c r="E2" s="285"/>
      <c r="F2" s="285"/>
      <c r="G2" s="285"/>
      <c r="H2" s="285"/>
      <c r="I2" s="285"/>
      <c r="J2" s="285"/>
      <c r="K2" s="285"/>
      <c r="L2" s="285"/>
      <c r="M2" s="285"/>
      <c r="N2" s="285"/>
      <c r="O2" s="285"/>
      <c r="P2" s="285"/>
      <c r="Q2" s="285"/>
      <c r="R2" s="285"/>
      <c r="S2" s="285"/>
    </row>
    <row r="3" spans="1:24" ht="12.75" customHeight="1">
      <c r="A3" s="27" t="s">
        <v>1</v>
      </c>
      <c r="B3" s="27" t="s">
        <v>25</v>
      </c>
      <c r="C3" s="28"/>
      <c r="D3" s="28"/>
      <c r="E3" s="28"/>
      <c r="F3" s="28"/>
      <c r="G3" s="28"/>
      <c r="H3" s="28"/>
      <c r="I3" s="28"/>
      <c r="J3" s="28"/>
      <c r="K3" s="28"/>
      <c r="L3" s="28"/>
    </row>
    <row r="4" spans="1:24" ht="6" customHeight="1">
      <c r="A4" s="29"/>
      <c r="B4" s="29"/>
      <c r="C4" s="29"/>
      <c r="D4" s="29"/>
      <c r="E4" s="29"/>
      <c r="F4" s="29"/>
      <c r="G4" s="29"/>
      <c r="H4" s="29"/>
      <c r="I4" s="29"/>
      <c r="J4" s="29"/>
      <c r="K4" s="29"/>
      <c r="L4" s="29"/>
    </row>
    <row r="5" spans="1:24" ht="20.100000000000001" customHeight="1">
      <c r="A5" s="1"/>
      <c r="B5" s="1" t="s">
        <v>28</v>
      </c>
      <c r="C5" s="286" t="s">
        <v>119</v>
      </c>
      <c r="D5" s="287"/>
      <c r="E5" s="287"/>
      <c r="F5" s="287"/>
      <c r="G5" s="24" t="s">
        <v>97</v>
      </c>
      <c r="H5" s="113"/>
      <c r="I5" s="24" t="s">
        <v>26</v>
      </c>
      <c r="J5" s="289" t="s">
        <v>119</v>
      </c>
      <c r="K5" s="290"/>
      <c r="L5" s="290"/>
      <c r="M5" s="54"/>
      <c r="N5" s="54"/>
      <c r="O5" s="29"/>
      <c r="P5" s="30"/>
      <c r="Q5" s="329"/>
      <c r="R5" s="329"/>
    </row>
    <row r="6" spans="1:24" ht="20.100000000000001" customHeight="1">
      <c r="A6" s="1"/>
      <c r="B6" s="1" t="s">
        <v>27</v>
      </c>
      <c r="C6" s="288" t="s">
        <v>119</v>
      </c>
      <c r="D6" s="288"/>
      <c r="E6" s="288"/>
      <c r="F6" s="288"/>
      <c r="G6" s="24" t="s">
        <v>229</v>
      </c>
      <c r="H6" s="115"/>
      <c r="I6" s="1"/>
      <c r="J6" s="1"/>
      <c r="K6" s="1"/>
      <c r="L6" s="1"/>
      <c r="M6" s="29"/>
      <c r="N6" s="29"/>
      <c r="O6" s="29"/>
      <c r="P6" s="30"/>
      <c r="Q6" s="329"/>
      <c r="R6" s="329"/>
    </row>
    <row r="7" spans="1:24" ht="20.100000000000001" customHeight="1">
      <c r="A7" s="1"/>
      <c r="B7" s="1" t="s">
        <v>29</v>
      </c>
      <c r="C7" s="287"/>
      <c r="D7" s="287"/>
      <c r="E7" s="287"/>
      <c r="F7" s="287"/>
      <c r="G7" s="24" t="s">
        <v>100</v>
      </c>
      <c r="H7" s="291"/>
      <c r="I7" s="292"/>
      <c r="J7" s="292"/>
      <c r="K7" s="292"/>
      <c r="L7" s="292"/>
      <c r="M7" s="54"/>
      <c r="N7" s="54"/>
      <c r="O7" s="30"/>
      <c r="P7" s="29"/>
      <c r="Q7" s="29"/>
      <c r="R7" s="29"/>
    </row>
    <row r="8" spans="1:24" ht="12.95" customHeight="1">
      <c r="A8" s="29"/>
      <c r="B8" s="29"/>
      <c r="C8" s="29"/>
      <c r="D8" s="29"/>
      <c r="E8" s="29"/>
      <c r="F8" s="29"/>
      <c r="G8" s="29"/>
      <c r="H8" s="29"/>
      <c r="I8" s="29"/>
      <c r="J8" s="29"/>
      <c r="K8" s="29"/>
      <c r="L8" s="29"/>
    </row>
    <row r="9" spans="1:24" s="94" customFormat="1" ht="12.75" customHeight="1">
      <c r="A9" s="27" t="s">
        <v>2</v>
      </c>
      <c r="B9" s="27" t="s">
        <v>3</v>
      </c>
      <c r="C9" s="28"/>
      <c r="D9" s="28"/>
      <c r="E9" s="28"/>
      <c r="F9" s="28"/>
      <c r="G9" s="28"/>
      <c r="H9" s="28"/>
      <c r="I9" s="28"/>
      <c r="J9" s="28"/>
      <c r="K9" s="28"/>
      <c r="L9" s="28"/>
    </row>
    <row r="10" spans="1:24" ht="6" customHeight="1"/>
    <row r="11" spans="1:24" ht="20.100000000000001" customHeight="1">
      <c r="B11" s="326"/>
      <c r="C11" s="326"/>
      <c r="D11" s="326"/>
      <c r="E11" s="326"/>
      <c r="F11" s="326"/>
      <c r="P11" s="40" t="s">
        <v>230</v>
      </c>
      <c r="Q11" s="40">
        <v>8</v>
      </c>
      <c r="R11" s="40">
        <v>12</v>
      </c>
      <c r="S11" s="40">
        <v>16</v>
      </c>
      <c r="T11" s="40">
        <v>20</v>
      </c>
      <c r="U11" s="40">
        <v>25</v>
      </c>
      <c r="V11" s="40">
        <v>32</v>
      </c>
    </row>
    <row r="12" spans="1:24">
      <c r="P12" s="43" t="s">
        <v>149</v>
      </c>
      <c r="Q12" s="43">
        <v>50.3</v>
      </c>
      <c r="R12" s="43">
        <v>113</v>
      </c>
      <c r="S12" s="43">
        <v>201</v>
      </c>
      <c r="T12" s="43">
        <v>314</v>
      </c>
      <c r="U12" s="43">
        <v>491</v>
      </c>
      <c r="V12" s="43">
        <v>804</v>
      </c>
    </row>
    <row r="13" spans="1:24" ht="18.75" customHeight="1">
      <c r="B13" s="55" t="s">
        <v>268</v>
      </c>
      <c r="C13" s="56"/>
      <c r="D13" s="57"/>
      <c r="E13" s="58">
        <v>60</v>
      </c>
      <c r="F13" s="59" t="s">
        <v>186</v>
      </c>
      <c r="P13" s="25"/>
      <c r="Q13" s="25" t="s">
        <v>119</v>
      </c>
      <c r="R13" s="25" t="s">
        <v>119</v>
      </c>
      <c r="S13" s="25" t="s">
        <v>119</v>
      </c>
      <c r="T13" s="25" t="s">
        <v>119</v>
      </c>
      <c r="U13" s="25" t="s">
        <v>119</v>
      </c>
      <c r="V13" s="25" t="s">
        <v>119</v>
      </c>
    </row>
    <row r="14" spans="1:24" ht="18.75" customHeight="1">
      <c r="B14" s="327" t="s">
        <v>187</v>
      </c>
      <c r="C14" s="327"/>
      <c r="D14" s="328"/>
      <c r="E14" s="60">
        <v>445</v>
      </c>
      <c r="F14" s="59" t="s">
        <v>188</v>
      </c>
      <c r="P14" s="25"/>
      <c r="Q14" s="25"/>
      <c r="R14" s="25"/>
      <c r="S14" s="25"/>
      <c r="T14" s="25"/>
      <c r="U14" s="25"/>
      <c r="V14" s="25"/>
    </row>
    <row r="15" spans="1:24" ht="18.75" customHeight="1">
      <c r="B15" s="55" t="s">
        <v>189</v>
      </c>
      <c r="D15" s="61"/>
      <c r="E15" s="62" t="s">
        <v>166</v>
      </c>
      <c r="F15" s="59" t="s">
        <v>190</v>
      </c>
      <c r="P15" s="40" t="s">
        <v>153</v>
      </c>
      <c r="Q15" s="40" t="s">
        <v>266</v>
      </c>
      <c r="S15" s="40" t="s">
        <v>239</v>
      </c>
      <c r="T15" s="40" t="s">
        <v>191</v>
      </c>
      <c r="U15" s="40"/>
      <c r="V15" s="25"/>
      <c r="W15" s="40" t="s">
        <v>230</v>
      </c>
      <c r="X15" s="40" t="s">
        <v>192</v>
      </c>
    </row>
    <row r="16" spans="1:24" ht="18.75" customHeight="1">
      <c r="B16" s="55" t="s">
        <v>193</v>
      </c>
      <c r="D16" s="61"/>
      <c r="E16" s="62">
        <v>1</v>
      </c>
      <c r="F16" s="59" t="s">
        <v>190</v>
      </c>
      <c r="J16" s="123" t="s">
        <v>251</v>
      </c>
      <c r="K16" s="124"/>
      <c r="P16" s="43" t="s">
        <v>159</v>
      </c>
      <c r="Q16" s="43">
        <v>1.77</v>
      </c>
      <c r="R16" s="97">
        <v>1.36</v>
      </c>
      <c r="S16" s="43">
        <v>2</v>
      </c>
      <c r="T16" s="43">
        <v>1</v>
      </c>
      <c r="U16" s="43">
        <v>1</v>
      </c>
      <c r="V16" s="25"/>
      <c r="W16" s="43">
        <v>8</v>
      </c>
      <c r="X16" s="43">
        <v>1.4</v>
      </c>
    </row>
    <row r="17" spans="1:24" ht="18.75" customHeight="1">
      <c r="B17" s="55" t="s">
        <v>194</v>
      </c>
      <c r="D17" s="63"/>
      <c r="E17" s="60">
        <f>VLOOKUP(E15,P16:Q23,2,)</f>
        <v>2.2599999999999998</v>
      </c>
      <c r="F17" s="59" t="s">
        <v>188</v>
      </c>
      <c r="H17" s="53" t="s">
        <v>119</v>
      </c>
      <c r="J17" s="120">
        <f>VLOOKUP(E15,P46:Q53,2,)</f>
        <v>1.78</v>
      </c>
      <c r="K17" s="121" t="s">
        <v>188</v>
      </c>
      <c r="P17" s="43" t="s">
        <v>162</v>
      </c>
      <c r="Q17" s="43">
        <v>2.0299999999999998</v>
      </c>
      <c r="R17" s="97">
        <v>1.56</v>
      </c>
      <c r="S17" s="43">
        <v>2.33</v>
      </c>
      <c r="T17" s="43">
        <v>2</v>
      </c>
      <c r="U17" s="43">
        <v>0.7</v>
      </c>
      <c r="V17" s="25"/>
      <c r="W17" s="43">
        <v>12</v>
      </c>
      <c r="X17" s="43">
        <v>1.4</v>
      </c>
    </row>
    <row r="18" spans="1:24" ht="18.75" customHeight="1">
      <c r="B18" s="64" t="s">
        <v>195</v>
      </c>
      <c r="C18" s="56"/>
      <c r="D18" s="64"/>
      <c r="E18" s="60">
        <f>VLOOKUP(E16,T16:U17,2,)</f>
        <v>1</v>
      </c>
      <c r="F18" s="59"/>
      <c r="H18" s="123" t="s">
        <v>250</v>
      </c>
      <c r="I18" s="124"/>
      <c r="J18" s="123" t="s">
        <v>252</v>
      </c>
      <c r="K18" s="124"/>
      <c r="P18" s="43" t="s">
        <v>166</v>
      </c>
      <c r="Q18" s="43">
        <v>2.2599999999999998</v>
      </c>
      <c r="R18" s="97">
        <v>1.74</v>
      </c>
      <c r="S18" s="43">
        <v>2.69</v>
      </c>
      <c r="T18" s="25"/>
      <c r="U18" s="25"/>
      <c r="V18" s="25"/>
      <c r="W18" s="43">
        <v>16</v>
      </c>
      <c r="X18" s="43">
        <v>2</v>
      </c>
    </row>
    <row r="19" spans="1:24" ht="18.75" customHeight="1">
      <c r="B19" s="55" t="s">
        <v>196</v>
      </c>
      <c r="D19" s="65"/>
      <c r="E19" s="62">
        <v>25</v>
      </c>
      <c r="F19" s="59" t="s">
        <v>130</v>
      </c>
      <c r="H19" s="125">
        <f>VLOOKUP(E15,P16:R23,3,)</f>
        <v>1.74</v>
      </c>
      <c r="I19" s="121" t="s">
        <v>188</v>
      </c>
      <c r="J19" s="122">
        <f>VLOOKUP(E15,P46:R53,3,)</f>
        <v>1.37</v>
      </c>
      <c r="K19" s="121" t="s">
        <v>188</v>
      </c>
      <c r="P19" s="43" t="s">
        <v>167</v>
      </c>
      <c r="Q19" s="43">
        <v>2.33</v>
      </c>
      <c r="R19" s="97">
        <v>1.79</v>
      </c>
      <c r="S19" s="43">
        <v>3.05</v>
      </c>
      <c r="T19" s="25"/>
      <c r="U19" s="25"/>
      <c r="V19" s="25"/>
      <c r="W19" s="43">
        <v>20</v>
      </c>
      <c r="X19" s="43">
        <v>2</v>
      </c>
    </row>
    <row r="20" spans="1:24" ht="18.75" customHeight="1">
      <c r="B20" s="55" t="s">
        <v>197</v>
      </c>
      <c r="D20" s="66"/>
      <c r="E20" s="67">
        <v>1</v>
      </c>
      <c r="F20" s="59" t="s">
        <v>190</v>
      </c>
      <c r="P20" s="43" t="s">
        <v>154</v>
      </c>
      <c r="Q20" s="43">
        <v>2.39</v>
      </c>
      <c r="R20" s="97">
        <v>1.84</v>
      </c>
      <c r="S20" s="43">
        <v>3.38</v>
      </c>
      <c r="T20" s="25"/>
      <c r="U20" s="25"/>
      <c r="V20" s="25"/>
      <c r="W20" s="43">
        <v>25</v>
      </c>
      <c r="X20" s="43">
        <v>2</v>
      </c>
    </row>
    <row r="21" spans="1:24" ht="21" customHeight="1">
      <c r="B21" s="55" t="s">
        <v>198</v>
      </c>
      <c r="D21" s="66"/>
      <c r="E21" s="67">
        <f>VLOOKUP(E19,W16:X21,2,)</f>
        <v>2</v>
      </c>
      <c r="F21" s="59" t="s">
        <v>190</v>
      </c>
      <c r="P21" s="43" t="s">
        <v>172</v>
      </c>
      <c r="Q21" s="43">
        <v>2.4500000000000002</v>
      </c>
      <c r="R21" s="97">
        <v>1.89</v>
      </c>
      <c r="S21" s="43">
        <v>3.38</v>
      </c>
      <c r="T21" s="25"/>
      <c r="U21" s="25"/>
      <c r="V21" s="25"/>
      <c r="W21" s="43">
        <v>32</v>
      </c>
      <c r="X21" s="43">
        <v>2</v>
      </c>
    </row>
    <row r="22" spans="1:24" ht="17.25" customHeight="1">
      <c r="B22" s="59"/>
      <c r="C22" s="56"/>
      <c r="D22" s="61"/>
      <c r="E22" s="68"/>
      <c r="F22" s="59"/>
      <c r="P22" s="43" t="s">
        <v>173</v>
      </c>
      <c r="Q22" s="43">
        <v>2.5099999999999998</v>
      </c>
      <c r="R22" s="97">
        <v>1.93</v>
      </c>
      <c r="S22" s="43">
        <v>3.38</v>
      </c>
      <c r="T22" s="25"/>
      <c r="U22" s="25"/>
      <c r="V22" s="25"/>
    </row>
    <row r="23" spans="1:24" ht="12.75" customHeight="1">
      <c r="A23" s="95" t="s">
        <v>9</v>
      </c>
      <c r="B23" s="95" t="s">
        <v>269</v>
      </c>
      <c r="C23" s="96"/>
      <c r="D23" s="96"/>
      <c r="E23" s="95" t="s">
        <v>246</v>
      </c>
      <c r="F23" s="96"/>
      <c r="G23" s="96"/>
      <c r="H23" s="95" t="s">
        <v>245</v>
      </c>
      <c r="I23" s="96"/>
      <c r="J23" s="96"/>
      <c r="K23" s="96"/>
      <c r="L23" s="96"/>
      <c r="P23" s="97" t="s">
        <v>176</v>
      </c>
      <c r="Q23" s="97">
        <v>2.58</v>
      </c>
      <c r="R23" s="97">
        <v>1.98</v>
      </c>
      <c r="S23" s="97">
        <v>3.38</v>
      </c>
      <c r="T23" s="25"/>
      <c r="U23" s="25"/>
      <c r="V23" s="25"/>
    </row>
    <row r="24" spans="1:24" ht="12.75" customHeight="1">
      <c r="A24" s="90"/>
      <c r="B24" s="90"/>
      <c r="C24" s="29"/>
      <c r="D24" s="29"/>
      <c r="E24" s="29"/>
      <c r="F24" s="29"/>
      <c r="G24" s="29"/>
      <c r="H24" s="29"/>
      <c r="I24" s="29"/>
      <c r="J24" s="29"/>
      <c r="K24" s="29"/>
      <c r="L24" s="29"/>
      <c r="P24" s="54"/>
      <c r="Q24" s="54"/>
      <c r="R24" s="54"/>
      <c r="S24" s="25"/>
      <c r="T24" s="25"/>
      <c r="U24" s="25"/>
      <c r="V24" s="25"/>
    </row>
    <row r="25" spans="1:24" ht="15">
      <c r="B25" s="55" t="s">
        <v>199</v>
      </c>
      <c r="C25" s="56"/>
      <c r="D25" s="69" t="s">
        <v>200</v>
      </c>
      <c r="E25" s="70">
        <v>357</v>
      </c>
      <c r="F25" s="59" t="s">
        <v>188</v>
      </c>
      <c r="H25" s="69"/>
      <c r="I25" s="69"/>
      <c r="J25" s="59"/>
    </row>
    <row r="26" spans="1:24" ht="14.25">
      <c r="B26" s="71"/>
      <c r="C26" s="59"/>
      <c r="D26" s="59" t="s">
        <v>201</v>
      </c>
      <c r="E26" s="72">
        <v>445</v>
      </c>
      <c r="F26" s="59" t="s">
        <v>188</v>
      </c>
      <c r="H26" s="59"/>
      <c r="I26" s="72"/>
      <c r="J26" s="59"/>
    </row>
    <row r="27" spans="1:24" ht="16.5">
      <c r="B27" s="73" t="s">
        <v>202</v>
      </c>
      <c r="C27" s="59"/>
      <c r="D27" s="59"/>
      <c r="E27" s="74">
        <f>E25/E26*100</f>
        <v>80.224719101123597</v>
      </c>
      <c r="F27" s="59" t="s">
        <v>203</v>
      </c>
      <c r="H27" s="59"/>
      <c r="I27" s="74">
        <f>E25/E26*100</f>
        <v>80.224719101123597</v>
      </c>
      <c r="J27" s="59" t="s">
        <v>203</v>
      </c>
      <c r="P27" s="25"/>
      <c r="Q27" s="25"/>
      <c r="R27" s="25"/>
      <c r="S27" s="25"/>
      <c r="T27" s="25"/>
      <c r="U27" s="25"/>
      <c r="V27" s="25"/>
      <c r="W27" s="25"/>
      <c r="X27" s="49" t="s">
        <v>147</v>
      </c>
    </row>
    <row r="28" spans="1:24" ht="19.5">
      <c r="B28" s="75" t="s">
        <v>204</v>
      </c>
      <c r="C28" s="59"/>
      <c r="D28" s="76" t="s">
        <v>205</v>
      </c>
      <c r="E28" s="77">
        <f>IF(E19&lt;32,(E$19/4*E$14/E$17),(E19/4*E14/H19))</f>
        <v>1230.641592920354</v>
      </c>
      <c r="F28" s="59" t="s">
        <v>130</v>
      </c>
      <c r="H28" s="76" t="s">
        <v>205</v>
      </c>
      <c r="I28" s="77">
        <f>IF(E19&lt;32,(E19/4*E14/J17),(E19/4*E14/J19))</f>
        <v>1562.5</v>
      </c>
      <c r="J28" s="59" t="s">
        <v>130</v>
      </c>
      <c r="P28" s="25"/>
      <c r="Q28" s="25"/>
      <c r="R28" s="25"/>
      <c r="S28" s="25"/>
      <c r="T28" s="25"/>
      <c r="U28" s="25"/>
      <c r="V28" s="25"/>
      <c r="W28" s="25"/>
      <c r="X28" s="25">
        <v>337</v>
      </c>
    </row>
    <row r="29" spans="1:24" ht="15.75">
      <c r="B29" s="55" t="s">
        <v>206</v>
      </c>
      <c r="C29" s="59"/>
      <c r="D29" s="119" t="s">
        <v>247</v>
      </c>
      <c r="E29" s="60">
        <f>IF(E19&lt;32,10*E19,13*E19)</f>
        <v>250</v>
      </c>
      <c r="F29" s="59" t="s">
        <v>130</v>
      </c>
      <c r="H29" s="78" t="s">
        <v>253</v>
      </c>
      <c r="I29" s="60">
        <f>IF(E19&lt;32,14*E$19,18*E19)</f>
        <v>350</v>
      </c>
      <c r="J29" s="59" t="s">
        <v>130</v>
      </c>
      <c r="P29" s="25"/>
      <c r="Q29" s="25"/>
      <c r="R29" s="25"/>
      <c r="S29" s="25"/>
      <c r="T29" s="25"/>
      <c r="U29" s="25"/>
      <c r="V29" s="25"/>
      <c r="W29" s="25"/>
      <c r="X29" s="25"/>
    </row>
    <row r="30" spans="1:24" ht="15.75">
      <c r="B30" s="55" t="s">
        <v>206</v>
      </c>
      <c r="C30" s="59"/>
      <c r="D30" s="78" t="s">
        <v>208</v>
      </c>
      <c r="E30" s="60">
        <f>0.3*E$20*E28</f>
        <v>369.19247787610618</v>
      </c>
      <c r="F30" s="59" t="s">
        <v>130</v>
      </c>
      <c r="H30" s="78" t="s">
        <v>208</v>
      </c>
      <c r="I30" s="60">
        <f>0.3*E$20*I28</f>
        <v>468.75</v>
      </c>
      <c r="J30" s="59" t="s">
        <v>130</v>
      </c>
      <c r="P30" s="40" t="s">
        <v>153</v>
      </c>
      <c r="Q30" s="40" t="s">
        <v>231</v>
      </c>
      <c r="R30" s="40" t="s">
        <v>232</v>
      </c>
      <c r="S30" s="40" t="s">
        <v>233</v>
      </c>
      <c r="T30" s="40" t="s">
        <v>234</v>
      </c>
      <c r="U30" s="40" t="s">
        <v>235</v>
      </c>
      <c r="V30" s="40" t="s">
        <v>236</v>
      </c>
      <c r="W30" s="40" t="s">
        <v>157</v>
      </c>
      <c r="X30" s="40" t="s">
        <v>158</v>
      </c>
    </row>
    <row r="31" spans="1:24">
      <c r="B31" s="55" t="s">
        <v>209</v>
      </c>
      <c r="C31" s="59"/>
      <c r="D31" s="59"/>
      <c r="E31" s="60">
        <f>E$20*E27*E$28/100</f>
        <v>987.27876106194697</v>
      </c>
      <c r="F31" s="59" t="s">
        <v>130</v>
      </c>
      <c r="H31" s="59"/>
      <c r="I31" s="60">
        <f>E$20*E27*I$28/100</f>
        <v>1253.5112359550562</v>
      </c>
      <c r="J31" s="59" t="s">
        <v>130</v>
      </c>
      <c r="P31" s="43" t="s">
        <v>159</v>
      </c>
      <c r="Q31" s="43">
        <v>16</v>
      </c>
      <c r="R31" s="43">
        <v>24</v>
      </c>
      <c r="S31" s="43">
        <v>1.9</v>
      </c>
      <c r="T31" s="43">
        <v>9.1</v>
      </c>
      <c r="U31" s="43">
        <v>27400</v>
      </c>
      <c r="V31" s="43">
        <v>23400</v>
      </c>
      <c r="W31" s="43">
        <v>50</v>
      </c>
      <c r="X31" s="43">
        <f t="shared" ref="X31:X38" si="0">$P$6/T31</f>
        <v>0</v>
      </c>
    </row>
    <row r="32" spans="1:24" ht="18.75">
      <c r="B32" s="73" t="s">
        <v>210</v>
      </c>
      <c r="C32" s="59"/>
      <c r="D32" s="91" t="s">
        <v>211</v>
      </c>
      <c r="E32" s="92">
        <f>ROUNDUP(MAX(E29:E31),0)</f>
        <v>988</v>
      </c>
      <c r="F32" s="59" t="s">
        <v>130</v>
      </c>
      <c r="H32" s="91" t="s">
        <v>211</v>
      </c>
      <c r="I32" s="92">
        <f>ROUNDUP(MAX(I29:I31),0)</f>
        <v>1254</v>
      </c>
      <c r="J32" s="59" t="s">
        <v>130</v>
      </c>
      <c r="P32" s="43" t="s">
        <v>162</v>
      </c>
      <c r="Q32" s="43">
        <v>20</v>
      </c>
      <c r="R32" s="43">
        <v>28</v>
      </c>
      <c r="S32" s="43">
        <v>2.2000000000000002</v>
      </c>
      <c r="T32" s="43">
        <v>11.3</v>
      </c>
      <c r="U32" s="43">
        <v>28800</v>
      </c>
      <c r="V32" s="43">
        <v>24900</v>
      </c>
      <c r="W32" s="43">
        <v>38.4</v>
      </c>
      <c r="X32" s="43">
        <f t="shared" si="0"/>
        <v>0</v>
      </c>
    </row>
    <row r="33" spans="1:24" ht="15.75">
      <c r="B33" s="53" t="s">
        <v>212</v>
      </c>
      <c r="C33" s="59"/>
      <c r="D33" s="78" t="s">
        <v>213</v>
      </c>
      <c r="E33" s="60">
        <v>200</v>
      </c>
      <c r="F33" s="59" t="s">
        <v>130</v>
      </c>
      <c r="H33" s="78" t="s">
        <v>213</v>
      </c>
      <c r="I33" s="60">
        <v>200</v>
      </c>
      <c r="J33" s="59" t="s">
        <v>130</v>
      </c>
      <c r="P33" s="43" t="s">
        <v>166</v>
      </c>
      <c r="Q33" s="43">
        <v>25</v>
      </c>
      <c r="R33" s="43">
        <v>33</v>
      </c>
      <c r="S33" s="43">
        <v>2.6</v>
      </c>
      <c r="T33" s="43">
        <v>14.2</v>
      </c>
      <c r="U33" s="43">
        <v>30500</v>
      </c>
      <c r="V33" s="43">
        <v>26700</v>
      </c>
      <c r="W33" s="43">
        <v>30.7</v>
      </c>
      <c r="X33" s="43">
        <f t="shared" si="0"/>
        <v>0</v>
      </c>
    </row>
    <row r="34" spans="1:24" ht="15.75">
      <c r="B34" s="55" t="s">
        <v>212</v>
      </c>
      <c r="C34" s="59"/>
      <c r="D34" s="78" t="s">
        <v>214</v>
      </c>
      <c r="E34" s="60">
        <f>E$19*15</f>
        <v>375</v>
      </c>
      <c r="F34" s="59" t="s">
        <v>130</v>
      </c>
      <c r="H34" s="78" t="s">
        <v>214</v>
      </c>
      <c r="I34" s="60">
        <f>E$19*15</f>
        <v>375</v>
      </c>
      <c r="J34" s="59" t="s">
        <v>130</v>
      </c>
      <c r="P34" s="43" t="s">
        <v>167</v>
      </c>
      <c r="Q34" s="43">
        <v>30</v>
      </c>
      <c r="R34" s="43">
        <v>38</v>
      </c>
      <c r="S34" s="43">
        <v>2.9</v>
      </c>
      <c r="T34" s="43">
        <v>17</v>
      </c>
      <c r="U34" s="43">
        <v>31900</v>
      </c>
      <c r="V34" s="43">
        <v>28300</v>
      </c>
      <c r="W34" s="43">
        <v>25.6</v>
      </c>
      <c r="X34" s="43">
        <f t="shared" si="0"/>
        <v>0</v>
      </c>
    </row>
    <row r="35" spans="1:24" ht="15.75">
      <c r="B35" s="55" t="s">
        <v>212</v>
      </c>
      <c r="C35" s="59"/>
      <c r="D35" s="78" t="s">
        <v>215</v>
      </c>
      <c r="E35" s="60">
        <f>0.3*E$20*E$21*E28</f>
        <v>738.38495575221236</v>
      </c>
      <c r="F35" s="59" t="s">
        <v>130</v>
      </c>
      <c r="G35" s="79"/>
      <c r="H35" s="78" t="s">
        <v>215</v>
      </c>
      <c r="I35" s="60">
        <f>0.3*E$20*E$21*I28</f>
        <v>937.5</v>
      </c>
      <c r="J35" s="59" t="s">
        <v>130</v>
      </c>
      <c r="P35" s="43" t="s">
        <v>154</v>
      </c>
      <c r="Q35" s="43">
        <v>35</v>
      </c>
      <c r="R35" s="43">
        <v>43</v>
      </c>
      <c r="S35" s="43">
        <v>3.2</v>
      </c>
      <c r="T35" s="43">
        <v>19.8</v>
      </c>
      <c r="U35" s="43">
        <v>33300</v>
      </c>
      <c r="V35" s="43">
        <v>29900</v>
      </c>
      <c r="W35" s="43">
        <v>21.9</v>
      </c>
      <c r="X35" s="43">
        <f t="shared" si="0"/>
        <v>0</v>
      </c>
    </row>
    <row r="36" spans="1:24">
      <c r="B36" s="55" t="s">
        <v>216</v>
      </c>
      <c r="C36" s="80"/>
      <c r="D36" s="59"/>
      <c r="E36" s="60">
        <f>E32*E$21</f>
        <v>1976</v>
      </c>
      <c r="F36" s="59" t="s">
        <v>130</v>
      </c>
      <c r="H36" s="59"/>
      <c r="I36" s="60">
        <f>I32*E$21</f>
        <v>2508</v>
      </c>
      <c r="J36" s="59" t="s">
        <v>130</v>
      </c>
      <c r="P36" s="43" t="s">
        <v>172</v>
      </c>
      <c r="Q36" s="43">
        <v>40</v>
      </c>
      <c r="R36" s="43">
        <v>48</v>
      </c>
      <c r="S36" s="43">
        <v>3.5</v>
      </c>
      <c r="T36" s="43">
        <v>22.7</v>
      </c>
      <c r="U36" s="43">
        <v>34500</v>
      </c>
      <c r="V36" s="43">
        <v>31400</v>
      </c>
      <c r="W36" s="43">
        <v>19.2</v>
      </c>
      <c r="X36" s="43">
        <f t="shared" si="0"/>
        <v>0</v>
      </c>
    </row>
    <row r="37" spans="1:24" ht="15.75">
      <c r="B37" s="73" t="s">
        <v>217</v>
      </c>
      <c r="C37" s="80"/>
      <c r="D37" s="91" t="s">
        <v>218</v>
      </c>
      <c r="E37" s="92">
        <f>ROUNDUP(MAX(E33:E36),0)</f>
        <v>1976</v>
      </c>
      <c r="F37" s="81" t="s">
        <v>130</v>
      </c>
      <c r="H37" s="91" t="s">
        <v>218</v>
      </c>
      <c r="I37" s="92">
        <f>ROUNDUP(MAX(I33:I36),0)</f>
        <v>2508</v>
      </c>
      <c r="J37" s="81" t="s">
        <v>130</v>
      </c>
      <c r="P37" s="43" t="s">
        <v>173</v>
      </c>
      <c r="Q37" s="43">
        <v>45</v>
      </c>
      <c r="R37" s="43">
        <v>53</v>
      </c>
      <c r="S37" s="43">
        <v>3.8</v>
      </c>
      <c r="T37" s="43">
        <v>25.5</v>
      </c>
      <c r="U37" s="43">
        <v>35700</v>
      </c>
      <c r="V37" s="43">
        <v>32800</v>
      </c>
      <c r="W37" s="43">
        <v>17.100000000000001</v>
      </c>
      <c r="X37" s="43">
        <f t="shared" si="0"/>
        <v>0</v>
      </c>
    </row>
    <row r="38" spans="1:24">
      <c r="B38" s="59"/>
      <c r="C38" s="80"/>
      <c r="D38" s="81"/>
      <c r="E38" s="82"/>
      <c r="F38" s="81"/>
      <c r="P38" s="43" t="s">
        <v>176</v>
      </c>
      <c r="Q38" s="43">
        <v>50</v>
      </c>
      <c r="R38" s="43">
        <v>58</v>
      </c>
      <c r="S38" s="43">
        <v>4.0999999999999996</v>
      </c>
      <c r="T38" s="43">
        <v>28.3</v>
      </c>
      <c r="U38" s="43">
        <v>36800</v>
      </c>
      <c r="V38" s="43">
        <v>34300</v>
      </c>
      <c r="W38" s="43">
        <v>15.3</v>
      </c>
      <c r="X38" s="43">
        <f t="shared" si="0"/>
        <v>0</v>
      </c>
    </row>
    <row r="39" spans="1:24">
      <c r="A39" s="27" t="s">
        <v>91</v>
      </c>
      <c r="B39" s="27" t="s">
        <v>248</v>
      </c>
      <c r="C39" s="28"/>
      <c r="D39" s="27" t="s">
        <v>249</v>
      </c>
      <c r="E39" s="28"/>
      <c r="F39" s="28"/>
      <c r="G39" s="28"/>
      <c r="H39" s="27" t="s">
        <v>259</v>
      </c>
      <c r="I39" s="27"/>
      <c r="J39" s="27"/>
      <c r="K39" s="27"/>
      <c r="L39" s="28"/>
      <c r="O39" s="59"/>
      <c r="P39" s="25"/>
      <c r="Q39" s="25"/>
      <c r="R39" s="25"/>
      <c r="S39" s="25"/>
      <c r="T39" s="25"/>
      <c r="U39" s="25"/>
      <c r="V39" s="25"/>
      <c r="W39" s="25"/>
      <c r="X39" s="25"/>
    </row>
    <row r="40" spans="1:24" ht="15.75">
      <c r="C40" s="56"/>
      <c r="D40" s="27"/>
      <c r="E40" s="27" t="s">
        <v>257</v>
      </c>
      <c r="F40" s="27"/>
      <c r="G40" s="27"/>
      <c r="H40" s="27"/>
      <c r="I40" s="27"/>
      <c r="O40" s="59"/>
      <c r="P40" s="49" t="s">
        <v>155</v>
      </c>
      <c r="Q40" s="25" t="s">
        <v>181</v>
      </c>
      <c r="R40" s="25"/>
      <c r="S40" s="25"/>
      <c r="T40" s="25"/>
      <c r="U40" s="25"/>
      <c r="V40" s="25"/>
      <c r="W40" s="25"/>
      <c r="X40" s="25"/>
    </row>
    <row r="41" spans="1:24" ht="16.5">
      <c r="C41" s="59"/>
      <c r="D41" s="63"/>
      <c r="O41" s="59"/>
      <c r="P41" s="49" t="s">
        <v>156</v>
      </c>
      <c r="Q41" s="25" t="s">
        <v>182</v>
      </c>
      <c r="R41" s="25"/>
      <c r="S41" s="25"/>
      <c r="T41" s="25"/>
      <c r="U41" s="25"/>
      <c r="V41" s="25"/>
      <c r="W41" s="25"/>
      <c r="X41" s="25"/>
    </row>
    <row r="42" spans="1:24">
      <c r="B42" s="55" t="s">
        <v>219</v>
      </c>
      <c r="C42" s="59"/>
      <c r="D42" s="59"/>
      <c r="E42" s="60">
        <f>VLOOKUP(E15,P16:S23,4,)</f>
        <v>2.69</v>
      </c>
      <c r="F42" s="59" t="s">
        <v>188</v>
      </c>
      <c r="O42" s="59"/>
    </row>
    <row r="43" spans="1:24" ht="19.5">
      <c r="B43" s="73" t="s">
        <v>204</v>
      </c>
      <c r="C43" s="59"/>
      <c r="D43" s="87" t="s">
        <v>205</v>
      </c>
      <c r="E43" s="77">
        <f>ROUNDUP((E$19/4*E$14/E$42)*1/E18,0)</f>
        <v>1034</v>
      </c>
      <c r="F43" s="59" t="s">
        <v>130</v>
      </c>
      <c r="O43" s="59"/>
    </row>
    <row r="44" spans="1:24" ht="15.75">
      <c r="B44" s="55" t="s">
        <v>206</v>
      </c>
      <c r="C44" s="59"/>
      <c r="D44" s="78" t="s">
        <v>207</v>
      </c>
      <c r="E44" s="60">
        <f>10*E$19</f>
        <v>250</v>
      </c>
      <c r="F44" s="59" t="s">
        <v>130</v>
      </c>
      <c r="O44" s="59"/>
      <c r="P44" s="93" t="s">
        <v>226</v>
      </c>
      <c r="Q44" s="40"/>
    </row>
    <row r="45" spans="1:24" ht="15.75">
      <c r="B45" s="55" t="s">
        <v>206</v>
      </c>
      <c r="C45" s="59"/>
      <c r="D45" s="78" t="s">
        <v>220</v>
      </c>
      <c r="E45" s="60">
        <f>0.3*E$20*E43</f>
        <v>310.2</v>
      </c>
      <c r="F45" s="59" t="s">
        <v>130</v>
      </c>
      <c r="O45" s="59"/>
      <c r="P45" s="40" t="s">
        <v>153</v>
      </c>
      <c r="Q45" s="40" t="s">
        <v>266</v>
      </c>
      <c r="R45" s="128" t="s">
        <v>260</v>
      </c>
    </row>
    <row r="46" spans="1:24">
      <c r="B46" s="55" t="s">
        <v>209</v>
      </c>
      <c r="C46" s="59"/>
      <c r="D46" s="59"/>
      <c r="E46" s="60">
        <f>E$20*E27*E$43/100</f>
        <v>829.523595505618</v>
      </c>
      <c r="F46" s="59" t="s">
        <v>130</v>
      </c>
      <c r="O46" s="59"/>
      <c r="P46" s="43" t="s">
        <v>159</v>
      </c>
      <c r="Q46" s="43">
        <v>1.32</v>
      </c>
      <c r="R46" s="43">
        <v>0.99</v>
      </c>
    </row>
    <row r="47" spans="1:24" ht="18.75">
      <c r="B47" s="73" t="s">
        <v>210</v>
      </c>
      <c r="C47" s="59"/>
      <c r="D47" s="91" t="s">
        <v>211</v>
      </c>
      <c r="E47" s="92">
        <f>ROUNDUP(MAX(E44:E46),0)</f>
        <v>830</v>
      </c>
      <c r="F47" s="59" t="s">
        <v>130</v>
      </c>
      <c r="H47" s="91" t="s">
        <v>211</v>
      </c>
      <c r="I47" s="92">
        <f>IF(E16&lt;2,(E32+E47)/2,(I32+E47)/2)</f>
        <v>909</v>
      </c>
      <c r="J47" s="59" t="s">
        <v>130</v>
      </c>
      <c r="O47" s="59"/>
      <c r="P47" s="43" t="s">
        <v>162</v>
      </c>
      <c r="Q47" s="43">
        <v>1.53</v>
      </c>
      <c r="R47" s="43">
        <v>1.18</v>
      </c>
    </row>
    <row r="48" spans="1:24" ht="15.75">
      <c r="B48" s="53" t="s">
        <v>212</v>
      </c>
      <c r="C48" s="59"/>
      <c r="D48" s="59" t="s">
        <v>221</v>
      </c>
      <c r="E48" s="60">
        <v>200</v>
      </c>
      <c r="F48" s="59" t="s">
        <v>130</v>
      </c>
      <c r="O48" s="59"/>
      <c r="P48" s="43" t="s">
        <v>166</v>
      </c>
      <c r="Q48" s="43">
        <v>1.78</v>
      </c>
      <c r="R48" s="43">
        <v>1.37</v>
      </c>
    </row>
    <row r="49" spans="2:18" ht="15.75">
      <c r="B49" s="55" t="s">
        <v>212</v>
      </c>
      <c r="C49" s="59"/>
      <c r="D49" s="59" t="s">
        <v>222</v>
      </c>
      <c r="E49" s="60">
        <f>E$19*15</f>
        <v>375</v>
      </c>
      <c r="F49" s="59" t="s">
        <v>130</v>
      </c>
      <c r="O49" s="59"/>
      <c r="P49" s="43" t="s">
        <v>167</v>
      </c>
      <c r="Q49" s="43">
        <v>2.0099999999999998</v>
      </c>
      <c r="R49" s="43">
        <v>1.54</v>
      </c>
    </row>
    <row r="50" spans="2:18" ht="15.75">
      <c r="B50" s="55" t="s">
        <v>212</v>
      </c>
      <c r="C50" s="59"/>
      <c r="D50" s="59" t="s">
        <v>223</v>
      </c>
      <c r="E50" s="60">
        <f>0.3*E$20*E$21*E43</f>
        <v>620.4</v>
      </c>
      <c r="F50" s="59" t="s">
        <v>130</v>
      </c>
      <c r="O50" s="59"/>
      <c r="P50" s="43" t="s">
        <v>154</v>
      </c>
      <c r="Q50" s="43">
        <v>2.23</v>
      </c>
      <c r="R50" s="43">
        <v>1.71</v>
      </c>
    </row>
    <row r="51" spans="2:18" ht="13.5" thickBot="1">
      <c r="B51" s="55" t="s">
        <v>216</v>
      </c>
      <c r="C51" s="80"/>
      <c r="D51" s="59"/>
      <c r="E51" s="60">
        <f>E47*E$21</f>
        <v>1660</v>
      </c>
      <c r="F51" s="59" t="s">
        <v>130</v>
      </c>
      <c r="O51" s="59"/>
      <c r="P51" s="43" t="s">
        <v>172</v>
      </c>
      <c r="Q51" s="43">
        <v>2.34</v>
      </c>
      <c r="R51" s="118">
        <v>1.8</v>
      </c>
    </row>
    <row r="52" spans="2:18" ht="19.5" thickBot="1">
      <c r="B52" s="73" t="s">
        <v>217</v>
      </c>
      <c r="C52" s="80"/>
      <c r="D52" s="126" t="s">
        <v>224</v>
      </c>
      <c r="E52" s="127">
        <f>ROUNDUP(MAX(E48:E51),0)</f>
        <v>1660</v>
      </c>
      <c r="F52" s="81" t="s">
        <v>130</v>
      </c>
      <c r="H52" s="126" t="s">
        <v>224</v>
      </c>
      <c r="I52" s="127">
        <f>IF(E16&lt;2,(E52+E37)/2,(E52+I37)/2)</f>
        <v>1818</v>
      </c>
      <c r="J52" s="81" t="s">
        <v>130</v>
      </c>
      <c r="O52" s="59"/>
      <c r="P52" s="43" t="s">
        <v>173</v>
      </c>
      <c r="Q52" s="43">
        <v>2.46</v>
      </c>
      <c r="R52" s="43">
        <v>1.89</v>
      </c>
    </row>
    <row r="53" spans="2:18">
      <c r="B53" s="59"/>
      <c r="C53" s="80"/>
      <c r="D53" s="59"/>
      <c r="E53" s="85"/>
      <c r="F53" s="59"/>
      <c r="O53" s="59"/>
      <c r="P53" s="43" t="s">
        <v>176</v>
      </c>
      <c r="Q53" s="43">
        <v>2.58</v>
      </c>
      <c r="R53" s="43">
        <v>1.98</v>
      </c>
    </row>
    <row r="54" spans="2:18">
      <c r="B54" s="59"/>
      <c r="C54" s="80"/>
      <c r="D54" s="59"/>
      <c r="E54" s="85"/>
      <c r="F54" s="59"/>
      <c r="O54" s="59"/>
    </row>
    <row r="55" spans="2:18">
      <c r="B55" s="59"/>
      <c r="C55" s="80"/>
      <c r="D55" s="59"/>
      <c r="E55" s="85"/>
      <c r="F55" s="59"/>
      <c r="O55" s="59"/>
    </row>
  </sheetData>
  <sheetProtection algorithmName="SHA-512" hashValue="scI93ipd2CY9ybXWL5QIQW3dd7rk0RCifmMYLVaWh72XfEqbNfBy4E7qCpYdwgtKRkRuNF0ocfVHbJb21aOLdA==" saltValue="c70ppEXwPmjMEug7ClElEA==" spinCount="100000" sheet="1" selectLockedCells="1"/>
  <mergeCells count="10">
    <mergeCell ref="C7:F7"/>
    <mergeCell ref="B11:F11"/>
    <mergeCell ref="B14:D14"/>
    <mergeCell ref="H7:L7"/>
    <mergeCell ref="A2:S2"/>
    <mergeCell ref="C5:F5"/>
    <mergeCell ref="J5:L5"/>
    <mergeCell ref="Q5:R5"/>
    <mergeCell ref="C6:F6"/>
    <mergeCell ref="Q6:R6"/>
  </mergeCells>
  <dataValidations disablePrompts="1" count="3">
    <dataValidation type="list" allowBlank="1" showInputMessage="1" showErrorMessage="1" sqref="E16" xr:uid="{00000000-0002-0000-0300-000000000000}">
      <formula1>$T$16:$T$17</formula1>
    </dataValidation>
    <dataValidation type="list" allowBlank="1" showInputMessage="1" showErrorMessage="1" sqref="E19" xr:uid="{00000000-0002-0000-0300-000001000000}">
      <formula1>$Q$11:$V$11</formula1>
    </dataValidation>
    <dataValidation type="list" allowBlank="1" showInputMessage="1" showErrorMessage="1" sqref="E15" xr:uid="{00000000-0002-0000-0300-000002000000}">
      <formula1>$P$31:$P$38</formula1>
    </dataValidation>
  </dataValidations>
  <pageMargins left="0.78740157480314965" right="0.78740157480314965" top="0.94488188976377963" bottom="0.78740157480314965" header="0.51181102362204722" footer="0.51181102362204722"/>
  <pageSetup paperSize="9" scale="63" orientation="portrait" r:id="rId1"/>
  <headerFooter>
    <oddFooter>&amp;L&amp;8&amp;F&amp;C
&amp;R&amp;8Bemessungshilfe Schöck Combar® V 2.2</oddFooter>
  </headerFooter>
  <colBreaks count="1" manualBreakCount="1">
    <brk id="12" max="1048575" man="1"/>
  </col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X55"/>
  <sheetViews>
    <sheetView showGridLines="0" showRuler="0" zoomScale="85" zoomScaleNormal="85" zoomScalePageLayoutView="90" workbookViewId="0">
      <selection activeCell="C5" sqref="C5:F5"/>
    </sheetView>
  </sheetViews>
  <sheetFormatPr baseColWidth="10" defaultColWidth="14.85546875" defaultRowHeight="12.75"/>
  <cols>
    <col min="1" max="1" width="3.42578125" style="53" customWidth="1"/>
    <col min="2" max="2" width="14.85546875" style="53" customWidth="1"/>
    <col min="3" max="3" width="15.42578125" style="53" customWidth="1"/>
    <col min="4" max="4" width="10.85546875" style="53" customWidth="1"/>
    <col min="5" max="5" width="14.42578125" style="53" customWidth="1"/>
    <col min="6" max="8" width="10.85546875" style="53" customWidth="1"/>
    <col min="9" max="9" width="14.7109375" style="53" customWidth="1"/>
    <col min="10" max="11" width="10.85546875" style="53" customWidth="1"/>
    <col min="12" max="14" width="8.85546875" style="53" customWidth="1"/>
    <col min="15" max="15" width="9" style="53" customWidth="1"/>
    <col min="16" max="16" width="14.85546875" style="53" customWidth="1"/>
    <col min="17" max="17" width="18.85546875" style="53" customWidth="1"/>
    <col min="18" max="25" width="14.85546875" style="53" customWidth="1"/>
    <col min="26" max="16384" width="14.85546875" style="53"/>
  </cols>
  <sheetData>
    <row r="1" spans="1:24" ht="12.75" customHeight="1"/>
    <row r="2" spans="1:24" ht="50.1" customHeight="1">
      <c r="A2" s="284" t="s">
        <v>265</v>
      </c>
      <c r="B2" s="285"/>
      <c r="C2" s="285"/>
      <c r="D2" s="285"/>
      <c r="E2" s="285"/>
      <c r="F2" s="285"/>
      <c r="G2" s="285"/>
      <c r="H2" s="285"/>
      <c r="I2" s="285"/>
      <c r="J2" s="285"/>
      <c r="K2" s="285"/>
      <c r="L2" s="285"/>
      <c r="M2" s="285"/>
      <c r="N2" s="285"/>
      <c r="O2" s="285"/>
      <c r="P2" s="285"/>
      <c r="Q2" s="285"/>
      <c r="R2" s="285"/>
      <c r="S2" s="285"/>
    </row>
    <row r="3" spans="1:24" ht="12.75" customHeight="1">
      <c r="A3" s="27" t="s">
        <v>1</v>
      </c>
      <c r="B3" s="27" t="s">
        <v>25</v>
      </c>
      <c r="C3" s="28"/>
      <c r="D3" s="28"/>
      <c r="E3" s="28"/>
      <c r="F3" s="28"/>
      <c r="G3" s="28"/>
      <c r="H3" s="28"/>
      <c r="I3" s="28"/>
      <c r="J3" s="28"/>
      <c r="K3" s="28"/>
      <c r="L3" s="28"/>
    </row>
    <row r="4" spans="1:24" ht="6" customHeight="1">
      <c r="A4" s="29"/>
      <c r="B4" s="29"/>
      <c r="C4" s="29"/>
      <c r="D4" s="29"/>
      <c r="E4" s="29"/>
      <c r="F4" s="29"/>
      <c r="G4" s="29"/>
      <c r="H4" s="29"/>
      <c r="I4" s="29"/>
      <c r="J4" s="29"/>
      <c r="K4" s="29"/>
      <c r="L4" s="29"/>
    </row>
    <row r="5" spans="1:24" ht="20.100000000000001" customHeight="1">
      <c r="A5" s="1"/>
      <c r="B5" s="1" t="s">
        <v>28</v>
      </c>
      <c r="C5" s="286"/>
      <c r="D5" s="287"/>
      <c r="E5" s="287"/>
      <c r="F5" s="287"/>
      <c r="G5" s="24" t="s">
        <v>97</v>
      </c>
      <c r="H5" s="113"/>
      <c r="I5" s="24" t="s">
        <v>26</v>
      </c>
      <c r="J5" s="289"/>
      <c r="K5" s="290"/>
      <c r="L5" s="290"/>
      <c r="M5" s="89"/>
      <c r="N5" s="89"/>
      <c r="O5" s="29"/>
      <c r="P5" s="30"/>
      <c r="Q5" s="330"/>
      <c r="R5" s="330"/>
    </row>
    <row r="6" spans="1:24" ht="20.100000000000001" customHeight="1">
      <c r="A6" s="1"/>
      <c r="B6" s="1" t="s">
        <v>27</v>
      </c>
      <c r="C6" s="288"/>
      <c r="D6" s="288"/>
      <c r="E6" s="288"/>
      <c r="F6" s="288"/>
      <c r="G6" s="24" t="s">
        <v>229</v>
      </c>
      <c r="H6" s="115"/>
      <c r="I6" s="1"/>
      <c r="J6" s="1"/>
      <c r="K6" s="1"/>
      <c r="L6" s="1"/>
      <c r="M6" s="29"/>
      <c r="N6" s="29"/>
      <c r="O6" s="29"/>
      <c r="P6" s="30"/>
      <c r="Q6" s="330"/>
      <c r="R6" s="330"/>
    </row>
    <row r="7" spans="1:24" ht="20.100000000000001" customHeight="1">
      <c r="A7" s="1"/>
      <c r="B7" s="1" t="s">
        <v>29</v>
      </c>
      <c r="C7" s="287"/>
      <c r="D7" s="287"/>
      <c r="E7" s="287"/>
      <c r="F7" s="287"/>
      <c r="G7" s="24" t="s">
        <v>100</v>
      </c>
      <c r="H7" s="291"/>
      <c r="I7" s="292"/>
      <c r="J7" s="292"/>
      <c r="K7" s="292"/>
      <c r="L7" s="292"/>
      <c r="M7" s="89"/>
      <c r="N7" s="89"/>
      <c r="O7" s="30"/>
      <c r="P7" s="29"/>
      <c r="Q7" s="29"/>
      <c r="R7" s="29"/>
    </row>
    <row r="8" spans="1:24" ht="12.95" customHeight="1">
      <c r="A8" s="29"/>
      <c r="B8" s="29"/>
      <c r="C8" s="29"/>
      <c r="D8" s="29"/>
      <c r="E8" s="29"/>
      <c r="F8" s="29"/>
      <c r="G8" s="29"/>
      <c r="H8" s="29"/>
      <c r="I8" s="29"/>
      <c r="J8" s="29"/>
      <c r="K8" s="29"/>
      <c r="L8" s="29"/>
    </row>
    <row r="9" spans="1:24" ht="12.75" customHeight="1">
      <c r="A9" s="27" t="s">
        <v>2</v>
      </c>
      <c r="B9" s="27" t="s">
        <v>3</v>
      </c>
      <c r="C9" s="28"/>
      <c r="D9" s="28"/>
      <c r="E9" s="95" t="s">
        <v>255</v>
      </c>
      <c r="F9" s="28"/>
      <c r="G9" s="28"/>
      <c r="H9" s="28"/>
      <c r="I9" s="28"/>
      <c r="J9" s="95" t="s">
        <v>256</v>
      </c>
      <c r="K9" s="28"/>
      <c r="L9" s="28"/>
    </row>
    <row r="10" spans="1:24" ht="6" customHeight="1"/>
    <row r="11" spans="1:24" ht="20.100000000000001" customHeight="1">
      <c r="B11" s="326"/>
      <c r="C11" s="326"/>
      <c r="D11" s="326"/>
      <c r="E11" s="326"/>
      <c r="F11" s="326"/>
      <c r="P11" s="40" t="s">
        <v>230</v>
      </c>
      <c r="Q11" s="40" t="s">
        <v>119</v>
      </c>
      <c r="R11" s="40">
        <v>12</v>
      </c>
      <c r="S11" s="40">
        <v>16</v>
      </c>
      <c r="T11" s="40">
        <v>20</v>
      </c>
      <c r="U11" s="40" t="s">
        <v>119</v>
      </c>
      <c r="V11" s="40" t="s">
        <v>119</v>
      </c>
    </row>
    <row r="12" spans="1:24">
      <c r="P12" s="43" t="s">
        <v>149</v>
      </c>
      <c r="Q12" s="43" t="s">
        <v>119</v>
      </c>
      <c r="R12" s="43">
        <v>113</v>
      </c>
      <c r="S12" s="43">
        <v>201</v>
      </c>
      <c r="T12" s="43">
        <v>314</v>
      </c>
      <c r="U12" s="43" t="s">
        <v>119</v>
      </c>
      <c r="V12" s="43" t="s">
        <v>119</v>
      </c>
    </row>
    <row r="13" spans="1:24" ht="18.75" customHeight="1">
      <c r="B13" s="55" t="s">
        <v>263</v>
      </c>
      <c r="C13" s="56"/>
      <c r="D13" s="57"/>
      <c r="E13" s="58">
        <v>50</v>
      </c>
      <c r="F13" s="59" t="s">
        <v>186</v>
      </c>
      <c r="P13" s="25"/>
      <c r="Q13" s="25" t="s">
        <v>119</v>
      </c>
      <c r="R13" s="25" t="s">
        <v>119</v>
      </c>
      <c r="S13" s="25" t="s">
        <v>119</v>
      </c>
      <c r="T13" s="25" t="s">
        <v>119</v>
      </c>
      <c r="U13" s="25" t="s">
        <v>119</v>
      </c>
      <c r="V13" s="25" t="s">
        <v>119</v>
      </c>
    </row>
    <row r="14" spans="1:24" ht="18.75" customHeight="1">
      <c r="B14" s="327" t="s">
        <v>187</v>
      </c>
      <c r="C14" s="327"/>
      <c r="D14" s="328"/>
      <c r="E14" s="60">
        <v>160</v>
      </c>
      <c r="F14" s="59" t="s">
        <v>188</v>
      </c>
      <c r="G14" s="327" t="s">
        <v>254</v>
      </c>
      <c r="H14" s="327"/>
      <c r="I14" s="328"/>
      <c r="J14" s="60">
        <v>200</v>
      </c>
      <c r="K14" s="59" t="s">
        <v>188</v>
      </c>
      <c r="P14" s="25"/>
      <c r="Q14" s="25"/>
      <c r="R14" s="25"/>
      <c r="S14" s="25"/>
      <c r="T14" s="25"/>
      <c r="U14" s="25"/>
      <c r="V14" s="25"/>
    </row>
    <row r="15" spans="1:24" ht="18.75" customHeight="1">
      <c r="B15" s="55" t="s">
        <v>189</v>
      </c>
      <c r="D15" s="61"/>
      <c r="E15" s="62" t="s">
        <v>166</v>
      </c>
      <c r="F15" s="59" t="s">
        <v>190</v>
      </c>
      <c r="P15" s="40" t="s">
        <v>153</v>
      </c>
      <c r="Q15" s="40" t="s">
        <v>266</v>
      </c>
      <c r="R15" s="107"/>
      <c r="S15" s="25"/>
      <c r="T15" s="40" t="s">
        <v>191</v>
      </c>
      <c r="U15" s="40"/>
      <c r="V15" s="25"/>
      <c r="W15" s="40" t="s">
        <v>230</v>
      </c>
      <c r="X15" s="40" t="s">
        <v>192</v>
      </c>
    </row>
    <row r="16" spans="1:24" ht="18.75" customHeight="1">
      <c r="B16" s="55" t="s">
        <v>193</v>
      </c>
      <c r="D16" s="61"/>
      <c r="E16" s="62">
        <v>1</v>
      </c>
      <c r="F16" s="59" t="s">
        <v>190</v>
      </c>
      <c r="P16" s="43" t="s">
        <v>159</v>
      </c>
      <c r="Q16" s="43">
        <v>1.77</v>
      </c>
      <c r="R16" s="54"/>
      <c r="S16" s="25"/>
      <c r="T16" s="43">
        <v>1</v>
      </c>
      <c r="U16" s="43">
        <v>1</v>
      </c>
      <c r="V16" s="25"/>
      <c r="W16" s="43">
        <v>8</v>
      </c>
      <c r="X16" s="43">
        <v>1.4</v>
      </c>
    </row>
    <row r="17" spans="1:24" ht="18.75" customHeight="1">
      <c r="B17" s="55" t="s">
        <v>194</v>
      </c>
      <c r="D17" s="63"/>
      <c r="E17" s="60">
        <f>VLOOKUP(E15,P16:Q23,2,)</f>
        <v>2.2999999999999998</v>
      </c>
      <c r="F17" s="59" t="s">
        <v>188</v>
      </c>
      <c r="P17" s="43" t="s">
        <v>162</v>
      </c>
      <c r="Q17" s="43">
        <v>2.0299999999999998</v>
      </c>
      <c r="R17" s="54"/>
      <c r="S17" s="25"/>
      <c r="T17" s="43">
        <v>2</v>
      </c>
      <c r="U17" s="43">
        <v>0.7</v>
      </c>
      <c r="V17" s="25"/>
      <c r="W17" s="43">
        <v>12</v>
      </c>
      <c r="X17" s="43">
        <v>1.4</v>
      </c>
    </row>
    <row r="18" spans="1:24" ht="18.75" customHeight="1">
      <c r="B18" s="64" t="s">
        <v>195</v>
      </c>
      <c r="C18" s="56"/>
      <c r="D18" s="64"/>
      <c r="E18" s="60">
        <f>VLOOKUP(E16,T16:U17,2,)</f>
        <v>1</v>
      </c>
      <c r="F18" s="59"/>
      <c r="P18" s="43" t="s">
        <v>166</v>
      </c>
      <c r="Q18" s="43">
        <v>2.2999999999999998</v>
      </c>
      <c r="R18" s="54"/>
      <c r="S18" s="25"/>
      <c r="T18" s="25"/>
      <c r="U18" s="25"/>
      <c r="V18" s="25"/>
      <c r="W18" s="43">
        <v>16</v>
      </c>
      <c r="X18" s="43">
        <v>2</v>
      </c>
    </row>
    <row r="19" spans="1:24" ht="18.75" customHeight="1">
      <c r="B19" s="55" t="s">
        <v>196</v>
      </c>
      <c r="D19" s="65"/>
      <c r="E19" s="62">
        <v>16</v>
      </c>
      <c r="F19" s="59" t="s">
        <v>130</v>
      </c>
      <c r="P19" s="43" t="s">
        <v>167</v>
      </c>
      <c r="Q19" s="43">
        <v>2.2999999999999998</v>
      </c>
      <c r="R19" s="54"/>
      <c r="S19" s="25"/>
      <c r="T19" s="25"/>
      <c r="U19" s="25"/>
      <c r="V19" s="25"/>
      <c r="W19" s="43">
        <v>20</v>
      </c>
      <c r="X19" s="43">
        <v>2</v>
      </c>
    </row>
    <row r="20" spans="1:24" ht="18.75" customHeight="1">
      <c r="B20" s="55" t="s">
        <v>197</v>
      </c>
      <c r="D20" s="66"/>
      <c r="E20" s="62">
        <v>1</v>
      </c>
      <c r="F20" s="59" t="s">
        <v>190</v>
      </c>
      <c r="P20" s="43" t="s">
        <v>154</v>
      </c>
      <c r="Q20" s="43">
        <v>2.2999999999999998</v>
      </c>
      <c r="R20" s="54"/>
      <c r="S20" s="25"/>
      <c r="T20" s="25"/>
      <c r="U20" s="25"/>
      <c r="V20" s="25"/>
      <c r="W20" s="43">
        <v>25</v>
      </c>
      <c r="X20" s="43">
        <v>2</v>
      </c>
    </row>
    <row r="21" spans="1:24" ht="21" customHeight="1">
      <c r="B21" s="55" t="s">
        <v>198</v>
      </c>
      <c r="D21" s="66"/>
      <c r="E21" s="67">
        <f>VLOOKUP(E19,W16:X21,2,)</f>
        <v>2</v>
      </c>
      <c r="F21" s="59" t="s">
        <v>190</v>
      </c>
      <c r="P21" s="43" t="s">
        <v>172</v>
      </c>
      <c r="Q21" s="43">
        <v>2.2999999999999998</v>
      </c>
      <c r="R21" s="54"/>
      <c r="S21" s="25"/>
      <c r="T21" s="25"/>
      <c r="U21" s="25"/>
      <c r="V21" s="25"/>
      <c r="W21" s="43">
        <v>32</v>
      </c>
      <c r="X21" s="43">
        <v>2</v>
      </c>
    </row>
    <row r="22" spans="1:24" ht="17.25" customHeight="1">
      <c r="B22" s="59"/>
      <c r="C22" s="56"/>
      <c r="D22" s="61"/>
      <c r="E22" s="68"/>
      <c r="F22" s="59"/>
      <c r="P22" s="43" t="s">
        <v>173</v>
      </c>
      <c r="Q22" s="43">
        <v>2.2999999999999998</v>
      </c>
      <c r="R22" s="54"/>
      <c r="S22" s="25"/>
      <c r="T22" s="25"/>
      <c r="U22" s="25"/>
      <c r="V22" s="25"/>
    </row>
    <row r="23" spans="1:24" ht="12.75" customHeight="1">
      <c r="A23" s="95" t="s">
        <v>9</v>
      </c>
      <c r="B23" s="95" t="s">
        <v>264</v>
      </c>
      <c r="C23" s="96"/>
      <c r="D23" s="96"/>
      <c r="E23" s="95" t="s">
        <v>255</v>
      </c>
      <c r="F23" s="96"/>
      <c r="G23" s="96"/>
      <c r="H23" s="96"/>
      <c r="I23" s="96"/>
      <c r="J23" s="95" t="s">
        <v>256</v>
      </c>
      <c r="K23" s="96"/>
      <c r="L23" s="96"/>
      <c r="P23" s="97" t="s">
        <v>176</v>
      </c>
      <c r="Q23" s="97">
        <v>2.2999999999999998</v>
      </c>
      <c r="R23" s="49"/>
      <c r="S23" s="25"/>
      <c r="T23" s="25"/>
      <c r="U23" s="25"/>
      <c r="V23" s="25"/>
    </row>
    <row r="24" spans="1:24" ht="12.75" customHeight="1">
      <c r="A24" s="90"/>
      <c r="B24" s="90"/>
      <c r="C24" s="29"/>
      <c r="D24" s="29"/>
      <c r="E24" s="29"/>
      <c r="F24" s="29"/>
      <c r="G24" s="29"/>
      <c r="H24" s="29"/>
      <c r="I24" s="29"/>
      <c r="J24" s="29"/>
      <c r="K24" s="29"/>
      <c r="L24" s="29"/>
      <c r="P24" s="54"/>
      <c r="Q24" s="54"/>
      <c r="R24" s="54"/>
      <c r="S24" s="25"/>
      <c r="T24" s="25"/>
      <c r="U24" s="25"/>
      <c r="V24" s="25"/>
    </row>
    <row r="25" spans="1:24" ht="15">
      <c r="B25" s="55" t="s">
        <v>199</v>
      </c>
      <c r="C25" s="56"/>
      <c r="D25" s="69" t="s">
        <v>200</v>
      </c>
      <c r="E25" s="70">
        <v>160</v>
      </c>
      <c r="F25" s="59" t="s">
        <v>188</v>
      </c>
      <c r="J25" s="70">
        <v>200</v>
      </c>
    </row>
    <row r="26" spans="1:24" ht="14.25">
      <c r="B26" s="71"/>
      <c r="C26" s="59"/>
      <c r="D26" s="59" t="s">
        <v>201</v>
      </c>
      <c r="E26" s="72">
        <v>160</v>
      </c>
      <c r="F26" s="59" t="s">
        <v>188</v>
      </c>
      <c r="J26" s="72">
        <v>200</v>
      </c>
      <c r="K26" s="59" t="s">
        <v>188</v>
      </c>
    </row>
    <row r="27" spans="1:24" ht="16.5">
      <c r="B27" s="73" t="s">
        <v>202</v>
      </c>
      <c r="C27" s="59"/>
      <c r="D27" s="59"/>
      <c r="E27" s="74">
        <f>E25/E26*100</f>
        <v>100</v>
      </c>
      <c r="F27" s="59" t="s">
        <v>203</v>
      </c>
      <c r="J27" s="74">
        <f>J25/J26*100</f>
        <v>100</v>
      </c>
      <c r="K27" s="59" t="s">
        <v>203</v>
      </c>
      <c r="P27" s="25"/>
      <c r="Q27" s="25"/>
      <c r="R27" s="25"/>
      <c r="S27" s="25"/>
      <c r="T27" s="25"/>
      <c r="U27" s="25"/>
      <c r="V27" s="25"/>
      <c r="W27" s="25"/>
      <c r="X27" s="49" t="s">
        <v>147</v>
      </c>
    </row>
    <row r="28" spans="1:24" ht="19.5">
      <c r="B28" s="75" t="s">
        <v>204</v>
      </c>
      <c r="C28" s="59"/>
      <c r="D28" s="76" t="s">
        <v>205</v>
      </c>
      <c r="E28" s="77">
        <f>ROUNDUP((E$19/4*E$14/E$17*1/E18),0)</f>
        <v>279</v>
      </c>
      <c r="F28" s="59" t="s">
        <v>130</v>
      </c>
      <c r="I28" s="76" t="s">
        <v>205</v>
      </c>
      <c r="J28" s="77">
        <f>ROUNDUP((E$19/4*J$14/E$17*1/E18),0)</f>
        <v>348</v>
      </c>
      <c r="K28" s="59" t="s">
        <v>130</v>
      </c>
      <c r="P28" s="25"/>
      <c r="Q28" s="25"/>
      <c r="R28" s="25"/>
      <c r="S28" s="25"/>
      <c r="T28" s="25"/>
      <c r="U28" s="25"/>
      <c r="V28" s="25"/>
      <c r="W28" s="25"/>
      <c r="X28" s="25">
        <v>337</v>
      </c>
    </row>
    <row r="29" spans="1:24" ht="15.75">
      <c r="B29" s="55" t="s">
        <v>206</v>
      </c>
      <c r="C29" s="59"/>
      <c r="D29" s="78" t="s">
        <v>258</v>
      </c>
      <c r="E29" s="60">
        <f>IF(E16&lt;2,10*E$19,14*E19)</f>
        <v>160</v>
      </c>
      <c r="F29" s="59" t="s">
        <v>130</v>
      </c>
      <c r="I29" s="78" t="s">
        <v>258</v>
      </c>
      <c r="J29" s="60">
        <f>IF(E16&lt;2,10*E$19,14*E19)</f>
        <v>160</v>
      </c>
      <c r="K29" s="59" t="s">
        <v>130</v>
      </c>
      <c r="P29" s="25"/>
      <c r="Q29" s="25"/>
      <c r="R29" s="25"/>
      <c r="S29" s="25"/>
      <c r="T29" s="25"/>
      <c r="U29" s="25"/>
      <c r="V29" s="25"/>
      <c r="W29" s="25"/>
      <c r="X29" s="25"/>
    </row>
    <row r="30" spans="1:24" ht="15.75">
      <c r="B30" s="55" t="s">
        <v>206</v>
      </c>
      <c r="C30" s="59"/>
      <c r="D30" s="78" t="s">
        <v>208</v>
      </c>
      <c r="E30" s="60">
        <f>0.3*E$20*E28</f>
        <v>83.7</v>
      </c>
      <c r="F30" s="59" t="s">
        <v>130</v>
      </c>
      <c r="J30" s="53">
        <f>0.3*E$20*J28</f>
        <v>104.39999999999999</v>
      </c>
      <c r="K30" s="59" t="s">
        <v>130</v>
      </c>
      <c r="P30" s="40" t="s">
        <v>153</v>
      </c>
      <c r="Q30" s="40" t="s">
        <v>231</v>
      </c>
      <c r="R30" s="40" t="s">
        <v>232</v>
      </c>
      <c r="S30" s="40" t="s">
        <v>233</v>
      </c>
      <c r="T30" s="40" t="s">
        <v>234</v>
      </c>
      <c r="U30" s="40" t="s">
        <v>235</v>
      </c>
      <c r="V30" s="40" t="s">
        <v>236</v>
      </c>
      <c r="W30" s="40" t="s">
        <v>157</v>
      </c>
      <c r="X30" s="40" t="s">
        <v>158</v>
      </c>
    </row>
    <row r="31" spans="1:24">
      <c r="B31" s="55" t="s">
        <v>209</v>
      </c>
      <c r="C31" s="59"/>
      <c r="D31" s="59"/>
      <c r="E31" s="60">
        <f>E$20*E27*E$28/100</f>
        <v>279</v>
      </c>
      <c r="F31" s="59" t="s">
        <v>130</v>
      </c>
      <c r="J31" s="53">
        <f>E$20*J27*J$28/100</f>
        <v>348</v>
      </c>
      <c r="K31" s="59" t="s">
        <v>130</v>
      </c>
      <c r="P31" s="43" t="s">
        <v>159</v>
      </c>
      <c r="Q31" s="43">
        <v>16</v>
      </c>
      <c r="R31" s="43">
        <v>24</v>
      </c>
      <c r="S31" s="43">
        <v>1.9</v>
      </c>
      <c r="T31" s="43">
        <v>9.1</v>
      </c>
      <c r="U31" s="43">
        <v>27400</v>
      </c>
      <c r="V31" s="43">
        <v>23400</v>
      </c>
      <c r="W31" s="43">
        <v>50</v>
      </c>
      <c r="X31" s="43">
        <f t="shared" ref="X31:X38" si="0">$P$6/T31</f>
        <v>0</v>
      </c>
    </row>
    <row r="32" spans="1:24" ht="18.75">
      <c r="B32" s="73" t="s">
        <v>210</v>
      </c>
      <c r="C32" s="59"/>
      <c r="D32" s="91" t="s">
        <v>211</v>
      </c>
      <c r="E32" s="92">
        <f>ROUNDUP(MAX(E29:E31),0)</f>
        <v>279</v>
      </c>
      <c r="F32" s="59" t="s">
        <v>130</v>
      </c>
      <c r="I32" s="91" t="s">
        <v>211</v>
      </c>
      <c r="J32" s="92">
        <f>ROUNDUP(MAX(J29:J31),0)</f>
        <v>348</v>
      </c>
      <c r="K32" s="59" t="s">
        <v>130</v>
      </c>
      <c r="P32" s="43" t="s">
        <v>162</v>
      </c>
      <c r="Q32" s="43">
        <v>20</v>
      </c>
      <c r="R32" s="43">
        <v>28</v>
      </c>
      <c r="S32" s="43">
        <v>2.2000000000000002</v>
      </c>
      <c r="T32" s="43">
        <v>11.3</v>
      </c>
      <c r="U32" s="43">
        <v>28800</v>
      </c>
      <c r="V32" s="43">
        <v>24900</v>
      </c>
      <c r="W32" s="43">
        <v>38.4</v>
      </c>
      <c r="X32" s="43">
        <f t="shared" si="0"/>
        <v>0</v>
      </c>
    </row>
    <row r="33" spans="1:24" ht="15.75">
      <c r="B33" s="53" t="s">
        <v>212</v>
      </c>
      <c r="C33" s="59"/>
      <c r="D33" s="78" t="s">
        <v>213</v>
      </c>
      <c r="E33" s="60">
        <v>200</v>
      </c>
      <c r="F33" s="59" t="s">
        <v>130</v>
      </c>
      <c r="J33" s="53">
        <v>200</v>
      </c>
      <c r="K33" s="59" t="s">
        <v>130</v>
      </c>
      <c r="P33" s="43" t="s">
        <v>166</v>
      </c>
      <c r="Q33" s="43">
        <v>25</v>
      </c>
      <c r="R33" s="43">
        <v>33</v>
      </c>
      <c r="S33" s="43">
        <v>2.6</v>
      </c>
      <c r="T33" s="43">
        <v>14.2</v>
      </c>
      <c r="U33" s="43">
        <v>30500</v>
      </c>
      <c r="V33" s="43">
        <v>26700</v>
      </c>
      <c r="W33" s="43">
        <v>30.7</v>
      </c>
      <c r="X33" s="43">
        <f t="shared" si="0"/>
        <v>0</v>
      </c>
    </row>
    <row r="34" spans="1:24" ht="15.75">
      <c r="B34" s="55" t="s">
        <v>212</v>
      </c>
      <c r="C34" s="59"/>
      <c r="D34" s="78" t="s">
        <v>214</v>
      </c>
      <c r="E34" s="60">
        <f>E$19*15</f>
        <v>240</v>
      </c>
      <c r="F34" s="59" t="s">
        <v>130</v>
      </c>
      <c r="J34" s="53">
        <f>E$19*15</f>
        <v>240</v>
      </c>
      <c r="K34" s="59" t="s">
        <v>130</v>
      </c>
      <c r="P34" s="43" t="s">
        <v>167</v>
      </c>
      <c r="Q34" s="43">
        <v>30</v>
      </c>
      <c r="R34" s="43">
        <v>38</v>
      </c>
      <c r="S34" s="43">
        <v>2.9</v>
      </c>
      <c r="T34" s="43">
        <v>17</v>
      </c>
      <c r="U34" s="43">
        <v>31900</v>
      </c>
      <c r="V34" s="43">
        <v>28300</v>
      </c>
      <c r="W34" s="43">
        <v>25.6</v>
      </c>
      <c r="X34" s="43">
        <f t="shared" si="0"/>
        <v>0</v>
      </c>
    </row>
    <row r="35" spans="1:24" ht="15.75">
      <c r="B35" s="55" t="s">
        <v>212</v>
      </c>
      <c r="C35" s="59"/>
      <c r="D35" s="78" t="s">
        <v>215</v>
      </c>
      <c r="E35" s="60">
        <f>0.3*E$20*E$21*E28</f>
        <v>167.4</v>
      </c>
      <c r="F35" s="59" t="s">
        <v>130</v>
      </c>
      <c r="G35" s="79"/>
      <c r="J35" s="60">
        <f>0.3*E$20*E$21*J28</f>
        <v>208.79999999999998</v>
      </c>
      <c r="K35" s="59" t="s">
        <v>130</v>
      </c>
      <c r="P35" s="43" t="s">
        <v>154</v>
      </c>
      <c r="Q35" s="43">
        <v>35</v>
      </c>
      <c r="R35" s="43">
        <v>43</v>
      </c>
      <c r="S35" s="43">
        <v>3.2</v>
      </c>
      <c r="T35" s="43">
        <v>19.8</v>
      </c>
      <c r="U35" s="43">
        <v>33300</v>
      </c>
      <c r="V35" s="43">
        <v>29900</v>
      </c>
      <c r="W35" s="43">
        <v>21.9</v>
      </c>
      <c r="X35" s="43">
        <f t="shared" si="0"/>
        <v>0</v>
      </c>
    </row>
    <row r="36" spans="1:24">
      <c r="B36" s="55" t="s">
        <v>216</v>
      </c>
      <c r="C36" s="80"/>
      <c r="D36" s="59"/>
      <c r="E36" s="60">
        <f>E32*E$21</f>
        <v>558</v>
      </c>
      <c r="F36" s="59" t="s">
        <v>130</v>
      </c>
      <c r="J36" s="60">
        <f>J32*E$21</f>
        <v>696</v>
      </c>
      <c r="K36" s="59" t="s">
        <v>130</v>
      </c>
      <c r="P36" s="43" t="s">
        <v>172</v>
      </c>
      <c r="Q36" s="43">
        <v>40</v>
      </c>
      <c r="R36" s="43">
        <v>48</v>
      </c>
      <c r="S36" s="43">
        <v>3.5</v>
      </c>
      <c r="T36" s="43">
        <v>22.7</v>
      </c>
      <c r="U36" s="43">
        <v>34500</v>
      </c>
      <c r="V36" s="43">
        <v>31400</v>
      </c>
      <c r="W36" s="43">
        <v>19.2</v>
      </c>
      <c r="X36" s="43">
        <f t="shared" si="0"/>
        <v>0</v>
      </c>
    </row>
    <row r="37" spans="1:24" ht="15.75">
      <c r="B37" s="73" t="s">
        <v>217</v>
      </c>
      <c r="C37" s="80"/>
      <c r="D37" s="91" t="s">
        <v>218</v>
      </c>
      <c r="E37" s="92">
        <f>ROUNDUP(MAX(E33:E36),0)</f>
        <v>558</v>
      </c>
      <c r="F37" s="81" t="s">
        <v>130</v>
      </c>
      <c r="I37" s="91" t="s">
        <v>218</v>
      </c>
      <c r="J37" s="92">
        <f>ROUNDUP(MAX(J33:J36),0)</f>
        <v>696</v>
      </c>
      <c r="K37" s="59" t="s">
        <v>130</v>
      </c>
      <c r="P37" s="43" t="s">
        <v>173</v>
      </c>
      <c r="Q37" s="43">
        <v>45</v>
      </c>
      <c r="R37" s="43">
        <v>53</v>
      </c>
      <c r="S37" s="43">
        <v>3.8</v>
      </c>
      <c r="T37" s="43">
        <v>25.5</v>
      </c>
      <c r="U37" s="43">
        <v>35700</v>
      </c>
      <c r="V37" s="43">
        <v>32800</v>
      </c>
      <c r="W37" s="43">
        <v>17.100000000000001</v>
      </c>
      <c r="X37" s="43">
        <f t="shared" si="0"/>
        <v>0</v>
      </c>
    </row>
    <row r="38" spans="1:24">
      <c r="B38" s="59"/>
      <c r="C38" s="80"/>
      <c r="D38" s="81"/>
      <c r="E38" s="82"/>
      <c r="F38" s="81"/>
      <c r="P38" s="43" t="s">
        <v>176</v>
      </c>
      <c r="Q38" s="43">
        <v>50</v>
      </c>
      <c r="R38" s="43">
        <v>58</v>
      </c>
      <c r="S38" s="43">
        <v>4.0999999999999996</v>
      </c>
      <c r="T38" s="43">
        <v>28.3</v>
      </c>
      <c r="U38" s="43">
        <v>36800</v>
      </c>
      <c r="V38" s="43">
        <v>34300</v>
      </c>
      <c r="W38" s="43">
        <v>15.3</v>
      </c>
      <c r="X38" s="43">
        <f t="shared" si="0"/>
        <v>0</v>
      </c>
    </row>
    <row r="39" spans="1:24" s="100" customFormat="1">
      <c r="A39" s="98"/>
      <c r="B39" s="98"/>
      <c r="C39" s="99"/>
      <c r="D39" s="99"/>
      <c r="E39" s="99"/>
      <c r="F39" s="99"/>
      <c r="G39" s="99"/>
      <c r="H39" s="99"/>
      <c r="I39" s="99"/>
      <c r="J39" s="99"/>
      <c r="K39" s="99"/>
      <c r="L39" s="99"/>
      <c r="O39" s="101"/>
      <c r="P39" s="102"/>
      <c r="Q39" s="102"/>
      <c r="R39" s="102"/>
      <c r="S39" s="102"/>
      <c r="T39" s="102"/>
      <c r="U39" s="102"/>
      <c r="V39" s="102"/>
      <c r="W39" s="102"/>
      <c r="X39" s="102"/>
    </row>
    <row r="40" spans="1:24" ht="19.5" customHeight="1">
      <c r="B40" s="83"/>
      <c r="C40" s="56"/>
      <c r="D40" s="84"/>
      <c r="E40" s="85"/>
      <c r="F40" s="59"/>
      <c r="O40" s="59"/>
      <c r="P40" s="49" t="s">
        <v>155</v>
      </c>
      <c r="Q40" s="25" t="s">
        <v>181</v>
      </c>
      <c r="R40" s="25"/>
      <c r="S40" s="25"/>
      <c r="T40" s="25"/>
      <c r="U40" s="25"/>
      <c r="V40" s="25"/>
      <c r="W40" s="25"/>
      <c r="X40" s="25"/>
    </row>
    <row r="41" spans="1:24" ht="16.5">
      <c r="B41" s="55"/>
      <c r="C41" s="59"/>
      <c r="D41" s="63"/>
      <c r="E41" s="60"/>
      <c r="F41" s="59"/>
      <c r="O41" s="59"/>
      <c r="P41" s="49" t="s">
        <v>156</v>
      </c>
      <c r="Q41" s="25" t="s">
        <v>182</v>
      </c>
      <c r="R41" s="25"/>
      <c r="S41" s="25"/>
      <c r="T41" s="25"/>
      <c r="U41" s="25"/>
      <c r="V41" s="25"/>
      <c r="W41" s="25"/>
      <c r="X41" s="25"/>
    </row>
    <row r="42" spans="1:24">
      <c r="C42" s="59"/>
      <c r="D42" s="59"/>
      <c r="E42" s="86"/>
      <c r="F42" s="59"/>
      <c r="O42" s="59"/>
    </row>
    <row r="43" spans="1:24" ht="15">
      <c r="B43" s="73"/>
      <c r="C43" s="59"/>
      <c r="D43" s="103"/>
      <c r="E43" s="104"/>
      <c r="F43" s="59"/>
      <c r="O43" s="59"/>
    </row>
    <row r="44" spans="1:24" ht="15.75">
      <c r="B44" s="55"/>
      <c r="C44" s="59"/>
      <c r="D44" s="78"/>
      <c r="E44" s="60"/>
      <c r="F44" s="59"/>
      <c r="O44" s="59"/>
    </row>
    <row r="45" spans="1:24" ht="15.75">
      <c r="B45" s="55"/>
      <c r="C45" s="59"/>
      <c r="D45" s="78"/>
      <c r="E45" s="60"/>
      <c r="F45" s="59"/>
      <c r="O45" s="59"/>
    </row>
    <row r="46" spans="1:24">
      <c r="B46" s="55"/>
      <c r="C46" s="59"/>
      <c r="D46" s="59"/>
      <c r="E46" s="60"/>
      <c r="F46" s="59"/>
      <c r="O46" s="59"/>
    </row>
    <row r="47" spans="1:24" ht="18">
      <c r="B47" s="73"/>
      <c r="C47" s="59"/>
      <c r="D47" s="105"/>
      <c r="E47" s="106"/>
      <c r="F47" s="59"/>
      <c r="J47" s="88"/>
      <c r="O47" s="59"/>
    </row>
    <row r="48" spans="1:24">
      <c r="C48" s="59"/>
      <c r="D48" s="59"/>
      <c r="E48" s="60"/>
      <c r="F48" s="59"/>
      <c r="O48" s="59"/>
    </row>
    <row r="49" spans="2:15">
      <c r="B49" s="55"/>
      <c r="C49" s="59"/>
      <c r="D49" s="59"/>
      <c r="E49" s="60"/>
      <c r="F49" s="59"/>
      <c r="O49" s="59"/>
    </row>
    <row r="50" spans="2:15">
      <c r="B50" s="55"/>
      <c r="C50" s="59"/>
      <c r="D50" s="59"/>
      <c r="E50" s="60"/>
      <c r="F50" s="59"/>
      <c r="O50" s="59"/>
    </row>
    <row r="51" spans="2:15">
      <c r="B51" s="55"/>
      <c r="C51" s="80"/>
      <c r="D51" s="59"/>
      <c r="E51" s="60"/>
      <c r="F51" s="59"/>
      <c r="O51" s="59"/>
    </row>
    <row r="52" spans="2:15" ht="15.75">
      <c r="B52" s="73"/>
      <c r="C52" s="80"/>
      <c r="D52" s="105"/>
      <c r="E52" s="106"/>
      <c r="F52" s="81"/>
      <c r="O52" s="59"/>
    </row>
    <row r="53" spans="2:15">
      <c r="B53" s="59"/>
      <c r="C53" s="80"/>
      <c r="D53" s="59"/>
      <c r="E53" s="85"/>
      <c r="F53" s="59"/>
      <c r="O53" s="59"/>
    </row>
    <row r="54" spans="2:15">
      <c r="B54" s="59"/>
      <c r="C54" s="80"/>
      <c r="D54" s="59"/>
      <c r="E54" s="85"/>
      <c r="F54" s="59"/>
      <c r="O54" s="59"/>
    </row>
    <row r="55" spans="2:15">
      <c r="B55" s="59"/>
      <c r="C55" s="80"/>
      <c r="D55" s="59"/>
      <c r="E55" s="85"/>
      <c r="F55" s="59"/>
      <c r="O55" s="59"/>
    </row>
  </sheetData>
  <sheetProtection algorithmName="SHA-512" hashValue="afBXEuB4xP2HvejGCTEe9pHuMFznhKRaXCKXCnkcOyonNrg6qKGWaoL/K11kUkXog4W4OfYdRIKeMREPwYPcFg==" saltValue="IthEapUIiLVyB/vk/f9g0g==" spinCount="100000" sheet="1" objects="1" scenarios="1" selectLockedCells="1"/>
  <mergeCells count="11">
    <mergeCell ref="C7:F7"/>
    <mergeCell ref="B11:F11"/>
    <mergeCell ref="B14:D14"/>
    <mergeCell ref="A2:S2"/>
    <mergeCell ref="C5:F5"/>
    <mergeCell ref="J5:L5"/>
    <mergeCell ref="Q5:R5"/>
    <mergeCell ref="C6:F6"/>
    <mergeCell ref="Q6:R6"/>
    <mergeCell ref="H7:L7"/>
    <mergeCell ref="G14:I14"/>
  </mergeCells>
  <dataValidations disablePrompts="1" count="3">
    <dataValidation type="list" allowBlank="1" showInputMessage="1" showErrorMessage="1" sqref="E16" xr:uid="{00000000-0002-0000-0400-000000000000}">
      <formula1>$T$16:$T$17</formula1>
    </dataValidation>
    <dataValidation type="list" allowBlank="1" showInputMessage="1" showErrorMessage="1" sqref="E19" xr:uid="{00000000-0002-0000-0400-000001000000}">
      <formula1>$Q$11:$V$11</formula1>
    </dataValidation>
    <dataValidation type="list" allowBlank="1" showInputMessage="1" showErrorMessage="1" sqref="E15" xr:uid="{00000000-0002-0000-0400-000002000000}">
      <formula1>$P$31:$P$38</formula1>
    </dataValidation>
  </dataValidations>
  <pageMargins left="0.78740157480314965" right="0.78740157480314965" top="0.94488188976377963" bottom="0.78740157480314965" header="0.51181102362204722" footer="0.51181102362204722"/>
  <pageSetup paperSize="9" scale="63" orientation="portrait" r:id="rId1"/>
  <headerFooter>
    <oddFooter>&amp;L&amp;8&amp;F&amp;C
&amp;R&amp;8Bemessungshilfe Schöck Combar® V 2.2</oddFooter>
  </headerFooter>
  <colBreaks count="1" manualBreakCount="1">
    <brk id="12" max="1048575" man="1"/>
  </col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Q38"/>
  <sheetViews>
    <sheetView showGridLines="0" showRuler="0" zoomScale="90" zoomScaleNormal="90" zoomScalePageLayoutView="90" workbookViewId="0">
      <selection activeCell="C5" sqref="C5:F5"/>
    </sheetView>
  </sheetViews>
  <sheetFormatPr baseColWidth="10" defaultRowHeight="12.75"/>
  <cols>
    <col min="1" max="1" width="3.42578125" style="25" customWidth="1"/>
    <col min="2" max="2" width="14.85546875" style="25" customWidth="1"/>
    <col min="3" max="3" width="15.42578125" style="25" customWidth="1"/>
    <col min="4" max="4" width="10.85546875" style="25" customWidth="1"/>
    <col min="5" max="5" width="14.42578125" style="25" customWidth="1"/>
    <col min="6" max="8" width="10.85546875" style="25" customWidth="1"/>
    <col min="9" max="9" width="14.7109375" style="25" customWidth="1"/>
    <col min="10" max="11" width="10.85546875" style="25" customWidth="1"/>
    <col min="12" max="12" width="5.7109375" style="25" customWidth="1"/>
    <col min="13" max="28" width="13.42578125" style="25" customWidth="1"/>
    <col min="29" max="256" width="11.42578125" style="25"/>
    <col min="257" max="257" width="3.42578125" style="25" customWidth="1"/>
    <col min="258" max="258" width="14.85546875" style="25" customWidth="1"/>
    <col min="259" max="259" width="15.42578125" style="25" customWidth="1"/>
    <col min="260" max="260" width="10.85546875" style="25" customWidth="1"/>
    <col min="261" max="261" width="14.42578125" style="25" customWidth="1"/>
    <col min="262" max="264" width="10.85546875" style="25" customWidth="1"/>
    <col min="265" max="265" width="14.7109375" style="25" customWidth="1"/>
    <col min="266" max="267" width="10.85546875" style="25" customWidth="1"/>
    <col min="268" max="268" width="5.7109375" style="25" customWidth="1"/>
    <col min="269" max="284" width="13.42578125" style="25" customWidth="1"/>
    <col min="285" max="512" width="11.42578125" style="25"/>
    <col min="513" max="513" width="3.42578125" style="25" customWidth="1"/>
    <col min="514" max="514" width="14.85546875" style="25" customWidth="1"/>
    <col min="515" max="515" width="15.42578125" style="25" customWidth="1"/>
    <col min="516" max="516" width="10.85546875" style="25" customWidth="1"/>
    <col min="517" max="517" width="14.42578125" style="25" customWidth="1"/>
    <col min="518" max="520" width="10.85546875" style="25" customWidth="1"/>
    <col min="521" max="521" width="14.7109375" style="25" customWidth="1"/>
    <col min="522" max="523" width="10.85546875" style="25" customWidth="1"/>
    <col min="524" max="524" width="5.7109375" style="25" customWidth="1"/>
    <col min="525" max="540" width="13.42578125" style="25" customWidth="1"/>
    <col min="541" max="768" width="11.42578125" style="25"/>
    <col min="769" max="769" width="3.42578125" style="25" customWidth="1"/>
    <col min="770" max="770" width="14.85546875" style="25" customWidth="1"/>
    <col min="771" max="771" width="15.42578125" style="25" customWidth="1"/>
    <col min="772" max="772" width="10.85546875" style="25" customWidth="1"/>
    <col min="773" max="773" width="14.42578125" style="25" customWidth="1"/>
    <col min="774" max="776" width="10.85546875" style="25" customWidth="1"/>
    <col min="777" max="777" width="14.7109375" style="25" customWidth="1"/>
    <col min="778" max="779" width="10.85546875" style="25" customWidth="1"/>
    <col min="780" max="780" width="5.7109375" style="25" customWidth="1"/>
    <col min="781" max="796" width="13.42578125" style="25" customWidth="1"/>
    <col min="797" max="1024" width="11.42578125" style="25"/>
    <col min="1025" max="1025" width="3.42578125" style="25" customWidth="1"/>
    <col min="1026" max="1026" width="14.85546875" style="25" customWidth="1"/>
    <col min="1027" max="1027" width="15.42578125" style="25" customWidth="1"/>
    <col min="1028" max="1028" width="10.85546875" style="25" customWidth="1"/>
    <col min="1029" max="1029" width="14.42578125" style="25" customWidth="1"/>
    <col min="1030" max="1032" width="10.85546875" style="25" customWidth="1"/>
    <col min="1033" max="1033" width="14.7109375" style="25" customWidth="1"/>
    <col min="1034" max="1035" width="10.85546875" style="25" customWidth="1"/>
    <col min="1036" max="1036" width="5.7109375" style="25" customWidth="1"/>
    <col min="1037" max="1052" width="13.42578125" style="25" customWidth="1"/>
    <col min="1053" max="1280" width="11.42578125" style="25"/>
    <col min="1281" max="1281" width="3.42578125" style="25" customWidth="1"/>
    <col min="1282" max="1282" width="14.85546875" style="25" customWidth="1"/>
    <col min="1283" max="1283" width="15.42578125" style="25" customWidth="1"/>
    <col min="1284" max="1284" width="10.85546875" style="25" customWidth="1"/>
    <col min="1285" max="1285" width="14.42578125" style="25" customWidth="1"/>
    <col min="1286" max="1288" width="10.85546875" style="25" customWidth="1"/>
    <col min="1289" max="1289" width="14.7109375" style="25" customWidth="1"/>
    <col min="1290" max="1291" width="10.85546875" style="25" customWidth="1"/>
    <col min="1292" max="1292" width="5.7109375" style="25" customWidth="1"/>
    <col min="1293" max="1308" width="13.42578125" style="25" customWidth="1"/>
    <col min="1309" max="1536" width="11.42578125" style="25"/>
    <col min="1537" max="1537" width="3.42578125" style="25" customWidth="1"/>
    <col min="1538" max="1538" width="14.85546875" style="25" customWidth="1"/>
    <col min="1539" max="1539" width="15.42578125" style="25" customWidth="1"/>
    <col min="1540" max="1540" width="10.85546875" style="25" customWidth="1"/>
    <col min="1541" max="1541" width="14.42578125" style="25" customWidth="1"/>
    <col min="1542" max="1544" width="10.85546875" style="25" customWidth="1"/>
    <col min="1545" max="1545" width="14.7109375" style="25" customWidth="1"/>
    <col min="1546" max="1547" width="10.85546875" style="25" customWidth="1"/>
    <col min="1548" max="1548" width="5.7109375" style="25" customWidth="1"/>
    <col min="1549" max="1564" width="13.42578125" style="25" customWidth="1"/>
    <col min="1565" max="1792" width="11.42578125" style="25"/>
    <col min="1793" max="1793" width="3.42578125" style="25" customWidth="1"/>
    <col min="1794" max="1794" width="14.85546875" style="25" customWidth="1"/>
    <col min="1795" max="1795" width="15.42578125" style="25" customWidth="1"/>
    <col min="1796" max="1796" width="10.85546875" style="25" customWidth="1"/>
    <col min="1797" max="1797" width="14.42578125" style="25" customWidth="1"/>
    <col min="1798" max="1800" width="10.85546875" style="25" customWidth="1"/>
    <col min="1801" max="1801" width="14.7109375" style="25" customWidth="1"/>
    <col min="1802" max="1803" width="10.85546875" style="25" customWidth="1"/>
    <col min="1804" max="1804" width="5.7109375" style="25" customWidth="1"/>
    <col min="1805" max="1820" width="13.42578125" style="25" customWidth="1"/>
    <col min="1821" max="2048" width="11.42578125" style="25"/>
    <col min="2049" max="2049" width="3.42578125" style="25" customWidth="1"/>
    <col min="2050" max="2050" width="14.85546875" style="25" customWidth="1"/>
    <col min="2051" max="2051" width="15.42578125" style="25" customWidth="1"/>
    <col min="2052" max="2052" width="10.85546875" style="25" customWidth="1"/>
    <col min="2053" max="2053" width="14.42578125" style="25" customWidth="1"/>
    <col min="2054" max="2056" width="10.85546875" style="25" customWidth="1"/>
    <col min="2057" max="2057" width="14.7109375" style="25" customWidth="1"/>
    <col min="2058" max="2059" width="10.85546875" style="25" customWidth="1"/>
    <col min="2060" max="2060" width="5.7109375" style="25" customWidth="1"/>
    <col min="2061" max="2076" width="13.42578125" style="25" customWidth="1"/>
    <col min="2077" max="2304" width="11.42578125" style="25"/>
    <col min="2305" max="2305" width="3.42578125" style="25" customWidth="1"/>
    <col min="2306" max="2306" width="14.85546875" style="25" customWidth="1"/>
    <col min="2307" max="2307" width="15.42578125" style="25" customWidth="1"/>
    <col min="2308" max="2308" width="10.85546875" style="25" customWidth="1"/>
    <col min="2309" max="2309" width="14.42578125" style="25" customWidth="1"/>
    <col min="2310" max="2312" width="10.85546875" style="25" customWidth="1"/>
    <col min="2313" max="2313" width="14.7109375" style="25" customWidth="1"/>
    <col min="2314" max="2315" width="10.85546875" style="25" customWidth="1"/>
    <col min="2316" max="2316" width="5.7109375" style="25" customWidth="1"/>
    <col min="2317" max="2332" width="13.42578125" style="25" customWidth="1"/>
    <col min="2333" max="2560" width="11.42578125" style="25"/>
    <col min="2561" max="2561" width="3.42578125" style="25" customWidth="1"/>
    <col min="2562" max="2562" width="14.85546875" style="25" customWidth="1"/>
    <col min="2563" max="2563" width="15.42578125" style="25" customWidth="1"/>
    <col min="2564" max="2564" width="10.85546875" style="25" customWidth="1"/>
    <col min="2565" max="2565" width="14.42578125" style="25" customWidth="1"/>
    <col min="2566" max="2568" width="10.85546875" style="25" customWidth="1"/>
    <col min="2569" max="2569" width="14.7109375" style="25" customWidth="1"/>
    <col min="2570" max="2571" width="10.85546875" style="25" customWidth="1"/>
    <col min="2572" max="2572" width="5.7109375" style="25" customWidth="1"/>
    <col min="2573" max="2588" width="13.42578125" style="25" customWidth="1"/>
    <col min="2589" max="2816" width="11.42578125" style="25"/>
    <col min="2817" max="2817" width="3.42578125" style="25" customWidth="1"/>
    <col min="2818" max="2818" width="14.85546875" style="25" customWidth="1"/>
    <col min="2819" max="2819" width="15.42578125" style="25" customWidth="1"/>
    <col min="2820" max="2820" width="10.85546875" style="25" customWidth="1"/>
    <col min="2821" max="2821" width="14.42578125" style="25" customWidth="1"/>
    <col min="2822" max="2824" width="10.85546875" style="25" customWidth="1"/>
    <col min="2825" max="2825" width="14.7109375" style="25" customWidth="1"/>
    <col min="2826" max="2827" width="10.85546875" style="25" customWidth="1"/>
    <col min="2828" max="2828" width="5.7109375" style="25" customWidth="1"/>
    <col min="2829" max="2844" width="13.42578125" style="25" customWidth="1"/>
    <col min="2845" max="3072" width="11.42578125" style="25"/>
    <col min="3073" max="3073" width="3.42578125" style="25" customWidth="1"/>
    <col min="3074" max="3074" width="14.85546875" style="25" customWidth="1"/>
    <col min="3075" max="3075" width="15.42578125" style="25" customWidth="1"/>
    <col min="3076" max="3076" width="10.85546875" style="25" customWidth="1"/>
    <col min="3077" max="3077" width="14.42578125" style="25" customWidth="1"/>
    <col min="3078" max="3080" width="10.85546875" style="25" customWidth="1"/>
    <col min="3081" max="3081" width="14.7109375" style="25" customWidth="1"/>
    <col min="3082" max="3083" width="10.85546875" style="25" customWidth="1"/>
    <col min="3084" max="3084" width="5.7109375" style="25" customWidth="1"/>
    <col min="3085" max="3100" width="13.42578125" style="25" customWidth="1"/>
    <col min="3101" max="3328" width="11.42578125" style="25"/>
    <col min="3329" max="3329" width="3.42578125" style="25" customWidth="1"/>
    <col min="3330" max="3330" width="14.85546875" style="25" customWidth="1"/>
    <col min="3331" max="3331" width="15.42578125" style="25" customWidth="1"/>
    <col min="3332" max="3332" width="10.85546875" style="25" customWidth="1"/>
    <col min="3333" max="3333" width="14.42578125" style="25" customWidth="1"/>
    <col min="3334" max="3336" width="10.85546875" style="25" customWidth="1"/>
    <col min="3337" max="3337" width="14.7109375" style="25" customWidth="1"/>
    <col min="3338" max="3339" width="10.85546875" style="25" customWidth="1"/>
    <col min="3340" max="3340" width="5.7109375" style="25" customWidth="1"/>
    <col min="3341" max="3356" width="13.42578125" style="25" customWidth="1"/>
    <col min="3357" max="3584" width="11.42578125" style="25"/>
    <col min="3585" max="3585" width="3.42578125" style="25" customWidth="1"/>
    <col min="3586" max="3586" width="14.85546875" style="25" customWidth="1"/>
    <col min="3587" max="3587" width="15.42578125" style="25" customWidth="1"/>
    <col min="3588" max="3588" width="10.85546875" style="25" customWidth="1"/>
    <col min="3589" max="3589" width="14.42578125" style="25" customWidth="1"/>
    <col min="3590" max="3592" width="10.85546875" style="25" customWidth="1"/>
    <col min="3593" max="3593" width="14.7109375" style="25" customWidth="1"/>
    <col min="3594" max="3595" width="10.85546875" style="25" customWidth="1"/>
    <col min="3596" max="3596" width="5.7109375" style="25" customWidth="1"/>
    <col min="3597" max="3612" width="13.42578125" style="25" customWidth="1"/>
    <col min="3613" max="3840" width="11.42578125" style="25"/>
    <col min="3841" max="3841" width="3.42578125" style="25" customWidth="1"/>
    <col min="3842" max="3842" width="14.85546875" style="25" customWidth="1"/>
    <col min="3843" max="3843" width="15.42578125" style="25" customWidth="1"/>
    <col min="3844" max="3844" width="10.85546875" style="25" customWidth="1"/>
    <col min="3845" max="3845" width="14.42578125" style="25" customWidth="1"/>
    <col min="3846" max="3848" width="10.85546875" style="25" customWidth="1"/>
    <col min="3849" max="3849" width="14.7109375" style="25" customWidth="1"/>
    <col min="3850" max="3851" width="10.85546875" style="25" customWidth="1"/>
    <col min="3852" max="3852" width="5.7109375" style="25" customWidth="1"/>
    <col min="3853" max="3868" width="13.42578125" style="25" customWidth="1"/>
    <col min="3869" max="4096" width="11.42578125" style="25"/>
    <col min="4097" max="4097" width="3.42578125" style="25" customWidth="1"/>
    <col min="4098" max="4098" width="14.85546875" style="25" customWidth="1"/>
    <col min="4099" max="4099" width="15.42578125" style="25" customWidth="1"/>
    <col min="4100" max="4100" width="10.85546875" style="25" customWidth="1"/>
    <col min="4101" max="4101" width="14.42578125" style="25" customWidth="1"/>
    <col min="4102" max="4104" width="10.85546875" style="25" customWidth="1"/>
    <col min="4105" max="4105" width="14.7109375" style="25" customWidth="1"/>
    <col min="4106" max="4107" width="10.85546875" style="25" customWidth="1"/>
    <col min="4108" max="4108" width="5.7109375" style="25" customWidth="1"/>
    <col min="4109" max="4124" width="13.42578125" style="25" customWidth="1"/>
    <col min="4125" max="4352" width="11.42578125" style="25"/>
    <col min="4353" max="4353" width="3.42578125" style="25" customWidth="1"/>
    <col min="4354" max="4354" width="14.85546875" style="25" customWidth="1"/>
    <col min="4355" max="4355" width="15.42578125" style="25" customWidth="1"/>
    <col min="4356" max="4356" width="10.85546875" style="25" customWidth="1"/>
    <col min="4357" max="4357" width="14.42578125" style="25" customWidth="1"/>
    <col min="4358" max="4360" width="10.85546875" style="25" customWidth="1"/>
    <col min="4361" max="4361" width="14.7109375" style="25" customWidth="1"/>
    <col min="4362" max="4363" width="10.85546875" style="25" customWidth="1"/>
    <col min="4364" max="4364" width="5.7109375" style="25" customWidth="1"/>
    <col min="4365" max="4380" width="13.42578125" style="25" customWidth="1"/>
    <col min="4381" max="4608" width="11.42578125" style="25"/>
    <col min="4609" max="4609" width="3.42578125" style="25" customWidth="1"/>
    <col min="4610" max="4610" width="14.85546875" style="25" customWidth="1"/>
    <col min="4611" max="4611" width="15.42578125" style="25" customWidth="1"/>
    <col min="4612" max="4612" width="10.85546875" style="25" customWidth="1"/>
    <col min="4613" max="4613" width="14.42578125" style="25" customWidth="1"/>
    <col min="4614" max="4616" width="10.85546875" style="25" customWidth="1"/>
    <col min="4617" max="4617" width="14.7109375" style="25" customWidth="1"/>
    <col min="4618" max="4619" width="10.85546875" style="25" customWidth="1"/>
    <col min="4620" max="4620" width="5.7109375" style="25" customWidth="1"/>
    <col min="4621" max="4636" width="13.42578125" style="25" customWidth="1"/>
    <col min="4637" max="4864" width="11.42578125" style="25"/>
    <col min="4865" max="4865" width="3.42578125" style="25" customWidth="1"/>
    <col min="4866" max="4866" width="14.85546875" style="25" customWidth="1"/>
    <col min="4867" max="4867" width="15.42578125" style="25" customWidth="1"/>
    <col min="4868" max="4868" width="10.85546875" style="25" customWidth="1"/>
    <col min="4869" max="4869" width="14.42578125" style="25" customWidth="1"/>
    <col min="4870" max="4872" width="10.85546875" style="25" customWidth="1"/>
    <col min="4873" max="4873" width="14.7109375" style="25" customWidth="1"/>
    <col min="4874" max="4875" width="10.85546875" style="25" customWidth="1"/>
    <col min="4876" max="4876" width="5.7109375" style="25" customWidth="1"/>
    <col min="4877" max="4892" width="13.42578125" style="25" customWidth="1"/>
    <col min="4893" max="5120" width="11.42578125" style="25"/>
    <col min="5121" max="5121" width="3.42578125" style="25" customWidth="1"/>
    <col min="5122" max="5122" width="14.85546875" style="25" customWidth="1"/>
    <col min="5123" max="5123" width="15.42578125" style="25" customWidth="1"/>
    <col min="5124" max="5124" width="10.85546875" style="25" customWidth="1"/>
    <col min="5125" max="5125" width="14.42578125" style="25" customWidth="1"/>
    <col min="5126" max="5128" width="10.85546875" style="25" customWidth="1"/>
    <col min="5129" max="5129" width="14.7109375" style="25" customWidth="1"/>
    <col min="5130" max="5131" width="10.85546875" style="25" customWidth="1"/>
    <col min="5132" max="5132" width="5.7109375" style="25" customWidth="1"/>
    <col min="5133" max="5148" width="13.42578125" style="25" customWidth="1"/>
    <col min="5149" max="5376" width="11.42578125" style="25"/>
    <col min="5377" max="5377" width="3.42578125" style="25" customWidth="1"/>
    <col min="5378" max="5378" width="14.85546875" style="25" customWidth="1"/>
    <col min="5379" max="5379" width="15.42578125" style="25" customWidth="1"/>
    <col min="5380" max="5380" width="10.85546875" style="25" customWidth="1"/>
    <col min="5381" max="5381" width="14.42578125" style="25" customWidth="1"/>
    <col min="5382" max="5384" width="10.85546875" style="25" customWidth="1"/>
    <col min="5385" max="5385" width="14.7109375" style="25" customWidth="1"/>
    <col min="5386" max="5387" width="10.85546875" style="25" customWidth="1"/>
    <col min="5388" max="5388" width="5.7109375" style="25" customWidth="1"/>
    <col min="5389" max="5404" width="13.42578125" style="25" customWidth="1"/>
    <col min="5405" max="5632" width="11.42578125" style="25"/>
    <col min="5633" max="5633" width="3.42578125" style="25" customWidth="1"/>
    <col min="5634" max="5634" width="14.85546875" style="25" customWidth="1"/>
    <col min="5635" max="5635" width="15.42578125" style="25" customWidth="1"/>
    <col min="5636" max="5636" width="10.85546875" style="25" customWidth="1"/>
    <col min="5637" max="5637" width="14.42578125" style="25" customWidth="1"/>
    <col min="5638" max="5640" width="10.85546875" style="25" customWidth="1"/>
    <col min="5641" max="5641" width="14.7109375" style="25" customWidth="1"/>
    <col min="5642" max="5643" width="10.85546875" style="25" customWidth="1"/>
    <col min="5644" max="5644" width="5.7109375" style="25" customWidth="1"/>
    <col min="5645" max="5660" width="13.42578125" style="25" customWidth="1"/>
    <col min="5661" max="5888" width="11.42578125" style="25"/>
    <col min="5889" max="5889" width="3.42578125" style="25" customWidth="1"/>
    <col min="5890" max="5890" width="14.85546875" style="25" customWidth="1"/>
    <col min="5891" max="5891" width="15.42578125" style="25" customWidth="1"/>
    <col min="5892" max="5892" width="10.85546875" style="25" customWidth="1"/>
    <col min="5893" max="5893" width="14.42578125" style="25" customWidth="1"/>
    <col min="5894" max="5896" width="10.85546875" style="25" customWidth="1"/>
    <col min="5897" max="5897" width="14.7109375" style="25" customWidth="1"/>
    <col min="5898" max="5899" width="10.85546875" style="25" customWidth="1"/>
    <col min="5900" max="5900" width="5.7109375" style="25" customWidth="1"/>
    <col min="5901" max="5916" width="13.42578125" style="25" customWidth="1"/>
    <col min="5917" max="6144" width="11.42578125" style="25"/>
    <col min="6145" max="6145" width="3.42578125" style="25" customWidth="1"/>
    <col min="6146" max="6146" width="14.85546875" style="25" customWidth="1"/>
    <col min="6147" max="6147" width="15.42578125" style="25" customWidth="1"/>
    <col min="6148" max="6148" width="10.85546875" style="25" customWidth="1"/>
    <col min="6149" max="6149" width="14.42578125" style="25" customWidth="1"/>
    <col min="6150" max="6152" width="10.85546875" style="25" customWidth="1"/>
    <col min="6153" max="6153" width="14.7109375" style="25" customWidth="1"/>
    <col min="6154" max="6155" width="10.85546875" style="25" customWidth="1"/>
    <col min="6156" max="6156" width="5.7109375" style="25" customWidth="1"/>
    <col min="6157" max="6172" width="13.42578125" style="25" customWidth="1"/>
    <col min="6173" max="6400" width="11.42578125" style="25"/>
    <col min="6401" max="6401" width="3.42578125" style="25" customWidth="1"/>
    <col min="6402" max="6402" width="14.85546875" style="25" customWidth="1"/>
    <col min="6403" max="6403" width="15.42578125" style="25" customWidth="1"/>
    <col min="6404" max="6404" width="10.85546875" style="25" customWidth="1"/>
    <col min="6405" max="6405" width="14.42578125" style="25" customWidth="1"/>
    <col min="6406" max="6408" width="10.85546875" style="25" customWidth="1"/>
    <col min="6409" max="6409" width="14.7109375" style="25" customWidth="1"/>
    <col min="6410" max="6411" width="10.85546875" style="25" customWidth="1"/>
    <col min="6412" max="6412" width="5.7109375" style="25" customWidth="1"/>
    <col min="6413" max="6428" width="13.42578125" style="25" customWidth="1"/>
    <col min="6429" max="6656" width="11.42578125" style="25"/>
    <col min="6657" max="6657" width="3.42578125" style="25" customWidth="1"/>
    <col min="6658" max="6658" width="14.85546875" style="25" customWidth="1"/>
    <col min="6659" max="6659" width="15.42578125" style="25" customWidth="1"/>
    <col min="6660" max="6660" width="10.85546875" style="25" customWidth="1"/>
    <col min="6661" max="6661" width="14.42578125" style="25" customWidth="1"/>
    <col min="6662" max="6664" width="10.85546875" style="25" customWidth="1"/>
    <col min="6665" max="6665" width="14.7109375" style="25" customWidth="1"/>
    <col min="6666" max="6667" width="10.85546875" style="25" customWidth="1"/>
    <col min="6668" max="6668" width="5.7109375" style="25" customWidth="1"/>
    <col min="6669" max="6684" width="13.42578125" style="25" customWidth="1"/>
    <col min="6685" max="6912" width="11.42578125" style="25"/>
    <col min="6913" max="6913" width="3.42578125" style="25" customWidth="1"/>
    <col min="6914" max="6914" width="14.85546875" style="25" customWidth="1"/>
    <col min="6915" max="6915" width="15.42578125" style="25" customWidth="1"/>
    <col min="6916" max="6916" width="10.85546875" style="25" customWidth="1"/>
    <col min="6917" max="6917" width="14.42578125" style="25" customWidth="1"/>
    <col min="6918" max="6920" width="10.85546875" style="25" customWidth="1"/>
    <col min="6921" max="6921" width="14.7109375" style="25" customWidth="1"/>
    <col min="6922" max="6923" width="10.85546875" style="25" customWidth="1"/>
    <col min="6924" max="6924" width="5.7109375" style="25" customWidth="1"/>
    <col min="6925" max="6940" width="13.42578125" style="25" customWidth="1"/>
    <col min="6941" max="7168" width="11.42578125" style="25"/>
    <col min="7169" max="7169" width="3.42578125" style="25" customWidth="1"/>
    <col min="7170" max="7170" width="14.85546875" style="25" customWidth="1"/>
    <col min="7171" max="7171" width="15.42578125" style="25" customWidth="1"/>
    <col min="7172" max="7172" width="10.85546875" style="25" customWidth="1"/>
    <col min="7173" max="7173" width="14.42578125" style="25" customWidth="1"/>
    <col min="7174" max="7176" width="10.85546875" style="25" customWidth="1"/>
    <col min="7177" max="7177" width="14.7109375" style="25" customWidth="1"/>
    <col min="7178" max="7179" width="10.85546875" style="25" customWidth="1"/>
    <col min="7180" max="7180" width="5.7109375" style="25" customWidth="1"/>
    <col min="7181" max="7196" width="13.42578125" style="25" customWidth="1"/>
    <col min="7197" max="7424" width="11.42578125" style="25"/>
    <col min="7425" max="7425" width="3.42578125" style="25" customWidth="1"/>
    <col min="7426" max="7426" width="14.85546875" style="25" customWidth="1"/>
    <col min="7427" max="7427" width="15.42578125" style="25" customWidth="1"/>
    <col min="7428" max="7428" width="10.85546875" style="25" customWidth="1"/>
    <col min="7429" max="7429" width="14.42578125" style="25" customWidth="1"/>
    <col min="7430" max="7432" width="10.85546875" style="25" customWidth="1"/>
    <col min="7433" max="7433" width="14.7109375" style="25" customWidth="1"/>
    <col min="7434" max="7435" width="10.85546875" style="25" customWidth="1"/>
    <col min="7436" max="7436" width="5.7109375" style="25" customWidth="1"/>
    <col min="7437" max="7452" width="13.42578125" style="25" customWidth="1"/>
    <col min="7453" max="7680" width="11.42578125" style="25"/>
    <col min="7681" max="7681" width="3.42578125" style="25" customWidth="1"/>
    <col min="7682" max="7682" width="14.85546875" style="25" customWidth="1"/>
    <col min="7683" max="7683" width="15.42578125" style="25" customWidth="1"/>
    <col min="7684" max="7684" width="10.85546875" style="25" customWidth="1"/>
    <col min="7685" max="7685" width="14.42578125" style="25" customWidth="1"/>
    <col min="7686" max="7688" width="10.85546875" style="25" customWidth="1"/>
    <col min="7689" max="7689" width="14.7109375" style="25" customWidth="1"/>
    <col min="7690" max="7691" width="10.85546875" style="25" customWidth="1"/>
    <col min="7692" max="7692" width="5.7109375" style="25" customWidth="1"/>
    <col min="7693" max="7708" width="13.42578125" style="25" customWidth="1"/>
    <col min="7709" max="7936" width="11.42578125" style="25"/>
    <col min="7937" max="7937" width="3.42578125" style="25" customWidth="1"/>
    <col min="7938" max="7938" width="14.85546875" style="25" customWidth="1"/>
    <col min="7939" max="7939" width="15.42578125" style="25" customWidth="1"/>
    <col min="7940" max="7940" width="10.85546875" style="25" customWidth="1"/>
    <col min="7941" max="7941" width="14.42578125" style="25" customWidth="1"/>
    <col min="7942" max="7944" width="10.85546875" style="25" customWidth="1"/>
    <col min="7945" max="7945" width="14.7109375" style="25" customWidth="1"/>
    <col min="7946" max="7947" width="10.85546875" style="25" customWidth="1"/>
    <col min="7948" max="7948" width="5.7109375" style="25" customWidth="1"/>
    <col min="7949" max="7964" width="13.42578125" style="25" customWidth="1"/>
    <col min="7965" max="8192" width="11.42578125" style="25"/>
    <col min="8193" max="8193" width="3.42578125" style="25" customWidth="1"/>
    <col min="8194" max="8194" width="14.85546875" style="25" customWidth="1"/>
    <col min="8195" max="8195" width="15.42578125" style="25" customWidth="1"/>
    <col min="8196" max="8196" width="10.85546875" style="25" customWidth="1"/>
    <col min="8197" max="8197" width="14.42578125" style="25" customWidth="1"/>
    <col min="8198" max="8200" width="10.85546875" style="25" customWidth="1"/>
    <col min="8201" max="8201" width="14.7109375" style="25" customWidth="1"/>
    <col min="8202" max="8203" width="10.85546875" style="25" customWidth="1"/>
    <col min="8204" max="8204" width="5.7109375" style="25" customWidth="1"/>
    <col min="8205" max="8220" width="13.42578125" style="25" customWidth="1"/>
    <col min="8221" max="8448" width="11.42578125" style="25"/>
    <col min="8449" max="8449" width="3.42578125" style="25" customWidth="1"/>
    <col min="8450" max="8450" width="14.85546875" style="25" customWidth="1"/>
    <col min="8451" max="8451" width="15.42578125" style="25" customWidth="1"/>
    <col min="8452" max="8452" width="10.85546875" style="25" customWidth="1"/>
    <col min="8453" max="8453" width="14.42578125" style="25" customWidth="1"/>
    <col min="8454" max="8456" width="10.85546875" style="25" customWidth="1"/>
    <col min="8457" max="8457" width="14.7109375" style="25" customWidth="1"/>
    <col min="8458" max="8459" width="10.85546875" style="25" customWidth="1"/>
    <col min="8460" max="8460" width="5.7109375" style="25" customWidth="1"/>
    <col min="8461" max="8476" width="13.42578125" style="25" customWidth="1"/>
    <col min="8477" max="8704" width="11.42578125" style="25"/>
    <col min="8705" max="8705" width="3.42578125" style="25" customWidth="1"/>
    <col min="8706" max="8706" width="14.85546875" style="25" customWidth="1"/>
    <col min="8707" max="8707" width="15.42578125" style="25" customWidth="1"/>
    <col min="8708" max="8708" width="10.85546875" style="25" customWidth="1"/>
    <col min="8709" max="8709" width="14.42578125" style="25" customWidth="1"/>
    <col min="8710" max="8712" width="10.85546875" style="25" customWidth="1"/>
    <col min="8713" max="8713" width="14.7109375" style="25" customWidth="1"/>
    <col min="8714" max="8715" width="10.85546875" style="25" customWidth="1"/>
    <col min="8716" max="8716" width="5.7109375" style="25" customWidth="1"/>
    <col min="8717" max="8732" width="13.42578125" style="25" customWidth="1"/>
    <col min="8733" max="8960" width="11.42578125" style="25"/>
    <col min="8961" max="8961" width="3.42578125" style="25" customWidth="1"/>
    <col min="8962" max="8962" width="14.85546875" style="25" customWidth="1"/>
    <col min="8963" max="8963" width="15.42578125" style="25" customWidth="1"/>
    <col min="8964" max="8964" width="10.85546875" style="25" customWidth="1"/>
    <col min="8965" max="8965" width="14.42578125" style="25" customWidth="1"/>
    <col min="8966" max="8968" width="10.85546875" style="25" customWidth="1"/>
    <col min="8969" max="8969" width="14.7109375" style="25" customWidth="1"/>
    <col min="8970" max="8971" width="10.85546875" style="25" customWidth="1"/>
    <col min="8972" max="8972" width="5.7109375" style="25" customWidth="1"/>
    <col min="8973" max="8988" width="13.42578125" style="25" customWidth="1"/>
    <col min="8989" max="9216" width="11.42578125" style="25"/>
    <col min="9217" max="9217" width="3.42578125" style="25" customWidth="1"/>
    <col min="9218" max="9218" width="14.85546875" style="25" customWidth="1"/>
    <col min="9219" max="9219" width="15.42578125" style="25" customWidth="1"/>
    <col min="9220" max="9220" width="10.85546875" style="25" customWidth="1"/>
    <col min="9221" max="9221" width="14.42578125" style="25" customWidth="1"/>
    <col min="9222" max="9224" width="10.85546875" style="25" customWidth="1"/>
    <col min="9225" max="9225" width="14.7109375" style="25" customWidth="1"/>
    <col min="9226" max="9227" width="10.85546875" style="25" customWidth="1"/>
    <col min="9228" max="9228" width="5.7109375" style="25" customWidth="1"/>
    <col min="9229" max="9244" width="13.42578125" style="25" customWidth="1"/>
    <col min="9245" max="9472" width="11.42578125" style="25"/>
    <col min="9473" max="9473" width="3.42578125" style="25" customWidth="1"/>
    <col min="9474" max="9474" width="14.85546875" style="25" customWidth="1"/>
    <col min="9475" max="9475" width="15.42578125" style="25" customWidth="1"/>
    <col min="9476" max="9476" width="10.85546875" style="25" customWidth="1"/>
    <col min="9477" max="9477" width="14.42578125" style="25" customWidth="1"/>
    <col min="9478" max="9480" width="10.85546875" style="25" customWidth="1"/>
    <col min="9481" max="9481" width="14.7109375" style="25" customWidth="1"/>
    <col min="9482" max="9483" width="10.85546875" style="25" customWidth="1"/>
    <col min="9484" max="9484" width="5.7109375" style="25" customWidth="1"/>
    <col min="9485" max="9500" width="13.42578125" style="25" customWidth="1"/>
    <col min="9501" max="9728" width="11.42578125" style="25"/>
    <col min="9729" max="9729" width="3.42578125" style="25" customWidth="1"/>
    <col min="9730" max="9730" width="14.85546875" style="25" customWidth="1"/>
    <col min="9731" max="9731" width="15.42578125" style="25" customWidth="1"/>
    <col min="9732" max="9732" width="10.85546875" style="25" customWidth="1"/>
    <col min="9733" max="9733" width="14.42578125" style="25" customWidth="1"/>
    <col min="9734" max="9736" width="10.85546875" style="25" customWidth="1"/>
    <col min="9737" max="9737" width="14.7109375" style="25" customWidth="1"/>
    <col min="9738" max="9739" width="10.85546875" style="25" customWidth="1"/>
    <col min="9740" max="9740" width="5.7109375" style="25" customWidth="1"/>
    <col min="9741" max="9756" width="13.42578125" style="25" customWidth="1"/>
    <col min="9757" max="9984" width="11.42578125" style="25"/>
    <col min="9985" max="9985" width="3.42578125" style="25" customWidth="1"/>
    <col min="9986" max="9986" width="14.85546875" style="25" customWidth="1"/>
    <col min="9987" max="9987" width="15.42578125" style="25" customWidth="1"/>
    <col min="9988" max="9988" width="10.85546875" style="25" customWidth="1"/>
    <col min="9989" max="9989" width="14.42578125" style="25" customWidth="1"/>
    <col min="9990" max="9992" width="10.85546875" style="25" customWidth="1"/>
    <col min="9993" max="9993" width="14.7109375" style="25" customWidth="1"/>
    <col min="9994" max="9995" width="10.85546875" style="25" customWidth="1"/>
    <col min="9996" max="9996" width="5.7109375" style="25" customWidth="1"/>
    <col min="9997" max="10012" width="13.42578125" style="25" customWidth="1"/>
    <col min="10013" max="10240" width="11.42578125" style="25"/>
    <col min="10241" max="10241" width="3.42578125" style="25" customWidth="1"/>
    <col min="10242" max="10242" width="14.85546875" style="25" customWidth="1"/>
    <col min="10243" max="10243" width="15.42578125" style="25" customWidth="1"/>
    <col min="10244" max="10244" width="10.85546875" style="25" customWidth="1"/>
    <col min="10245" max="10245" width="14.42578125" style="25" customWidth="1"/>
    <col min="10246" max="10248" width="10.85546875" style="25" customWidth="1"/>
    <col min="10249" max="10249" width="14.7109375" style="25" customWidth="1"/>
    <col min="10250" max="10251" width="10.85546875" style="25" customWidth="1"/>
    <col min="10252" max="10252" width="5.7109375" style="25" customWidth="1"/>
    <col min="10253" max="10268" width="13.42578125" style="25" customWidth="1"/>
    <col min="10269" max="10496" width="11.42578125" style="25"/>
    <col min="10497" max="10497" width="3.42578125" style="25" customWidth="1"/>
    <col min="10498" max="10498" width="14.85546875" style="25" customWidth="1"/>
    <col min="10499" max="10499" width="15.42578125" style="25" customWidth="1"/>
    <col min="10500" max="10500" width="10.85546875" style="25" customWidth="1"/>
    <col min="10501" max="10501" width="14.42578125" style="25" customWidth="1"/>
    <col min="10502" max="10504" width="10.85546875" style="25" customWidth="1"/>
    <col min="10505" max="10505" width="14.7109375" style="25" customWidth="1"/>
    <col min="10506" max="10507" width="10.85546875" style="25" customWidth="1"/>
    <col min="10508" max="10508" width="5.7109375" style="25" customWidth="1"/>
    <col min="10509" max="10524" width="13.42578125" style="25" customWidth="1"/>
    <col min="10525" max="10752" width="11.42578125" style="25"/>
    <col min="10753" max="10753" width="3.42578125" style="25" customWidth="1"/>
    <col min="10754" max="10754" width="14.85546875" style="25" customWidth="1"/>
    <col min="10755" max="10755" width="15.42578125" style="25" customWidth="1"/>
    <col min="10756" max="10756" width="10.85546875" style="25" customWidth="1"/>
    <col min="10757" max="10757" width="14.42578125" style="25" customWidth="1"/>
    <col min="10758" max="10760" width="10.85546875" style="25" customWidth="1"/>
    <col min="10761" max="10761" width="14.7109375" style="25" customWidth="1"/>
    <col min="10762" max="10763" width="10.85546875" style="25" customWidth="1"/>
    <col min="10764" max="10764" width="5.7109375" style="25" customWidth="1"/>
    <col min="10765" max="10780" width="13.42578125" style="25" customWidth="1"/>
    <col min="10781" max="11008" width="11.42578125" style="25"/>
    <col min="11009" max="11009" width="3.42578125" style="25" customWidth="1"/>
    <col min="11010" max="11010" width="14.85546875" style="25" customWidth="1"/>
    <col min="11011" max="11011" width="15.42578125" style="25" customWidth="1"/>
    <col min="11012" max="11012" width="10.85546875" style="25" customWidth="1"/>
    <col min="11013" max="11013" width="14.42578125" style="25" customWidth="1"/>
    <col min="11014" max="11016" width="10.85546875" style="25" customWidth="1"/>
    <col min="11017" max="11017" width="14.7109375" style="25" customWidth="1"/>
    <col min="11018" max="11019" width="10.85546875" style="25" customWidth="1"/>
    <col min="11020" max="11020" width="5.7109375" style="25" customWidth="1"/>
    <col min="11021" max="11036" width="13.42578125" style="25" customWidth="1"/>
    <col min="11037" max="11264" width="11.42578125" style="25"/>
    <col min="11265" max="11265" width="3.42578125" style="25" customWidth="1"/>
    <col min="11266" max="11266" width="14.85546875" style="25" customWidth="1"/>
    <col min="11267" max="11267" width="15.42578125" style="25" customWidth="1"/>
    <col min="11268" max="11268" width="10.85546875" style="25" customWidth="1"/>
    <col min="11269" max="11269" width="14.42578125" style="25" customWidth="1"/>
    <col min="11270" max="11272" width="10.85546875" style="25" customWidth="1"/>
    <col min="11273" max="11273" width="14.7109375" style="25" customWidth="1"/>
    <col min="11274" max="11275" width="10.85546875" style="25" customWidth="1"/>
    <col min="11276" max="11276" width="5.7109375" style="25" customWidth="1"/>
    <col min="11277" max="11292" width="13.42578125" style="25" customWidth="1"/>
    <col min="11293" max="11520" width="11.42578125" style="25"/>
    <col min="11521" max="11521" width="3.42578125" style="25" customWidth="1"/>
    <col min="11522" max="11522" width="14.85546875" style="25" customWidth="1"/>
    <col min="11523" max="11523" width="15.42578125" style="25" customWidth="1"/>
    <col min="11524" max="11524" width="10.85546875" style="25" customWidth="1"/>
    <col min="11525" max="11525" width="14.42578125" style="25" customWidth="1"/>
    <col min="11526" max="11528" width="10.85546875" style="25" customWidth="1"/>
    <col min="11529" max="11529" width="14.7109375" style="25" customWidth="1"/>
    <col min="11530" max="11531" width="10.85546875" style="25" customWidth="1"/>
    <col min="11532" max="11532" width="5.7109375" style="25" customWidth="1"/>
    <col min="11533" max="11548" width="13.42578125" style="25" customWidth="1"/>
    <col min="11549" max="11776" width="11.42578125" style="25"/>
    <col min="11777" max="11777" width="3.42578125" style="25" customWidth="1"/>
    <col min="11778" max="11778" width="14.85546875" style="25" customWidth="1"/>
    <col min="11779" max="11779" width="15.42578125" style="25" customWidth="1"/>
    <col min="11780" max="11780" width="10.85546875" style="25" customWidth="1"/>
    <col min="11781" max="11781" width="14.42578125" style="25" customWidth="1"/>
    <col min="11782" max="11784" width="10.85546875" style="25" customWidth="1"/>
    <col min="11785" max="11785" width="14.7109375" style="25" customWidth="1"/>
    <col min="11786" max="11787" width="10.85546875" style="25" customWidth="1"/>
    <col min="11788" max="11788" width="5.7109375" style="25" customWidth="1"/>
    <col min="11789" max="11804" width="13.42578125" style="25" customWidth="1"/>
    <col min="11805" max="12032" width="11.42578125" style="25"/>
    <col min="12033" max="12033" width="3.42578125" style="25" customWidth="1"/>
    <col min="12034" max="12034" width="14.85546875" style="25" customWidth="1"/>
    <col min="12035" max="12035" width="15.42578125" style="25" customWidth="1"/>
    <col min="12036" max="12036" width="10.85546875" style="25" customWidth="1"/>
    <col min="12037" max="12037" width="14.42578125" style="25" customWidth="1"/>
    <col min="12038" max="12040" width="10.85546875" style="25" customWidth="1"/>
    <col min="12041" max="12041" width="14.7109375" style="25" customWidth="1"/>
    <col min="12042" max="12043" width="10.85546875" style="25" customWidth="1"/>
    <col min="12044" max="12044" width="5.7109375" style="25" customWidth="1"/>
    <col min="12045" max="12060" width="13.42578125" style="25" customWidth="1"/>
    <col min="12061" max="12288" width="11.42578125" style="25"/>
    <col min="12289" max="12289" width="3.42578125" style="25" customWidth="1"/>
    <col min="12290" max="12290" width="14.85546875" style="25" customWidth="1"/>
    <col min="12291" max="12291" width="15.42578125" style="25" customWidth="1"/>
    <col min="12292" max="12292" width="10.85546875" style="25" customWidth="1"/>
    <col min="12293" max="12293" width="14.42578125" style="25" customWidth="1"/>
    <col min="12294" max="12296" width="10.85546875" style="25" customWidth="1"/>
    <col min="12297" max="12297" width="14.7109375" style="25" customWidth="1"/>
    <col min="12298" max="12299" width="10.85546875" style="25" customWidth="1"/>
    <col min="12300" max="12300" width="5.7109375" style="25" customWidth="1"/>
    <col min="12301" max="12316" width="13.42578125" style="25" customWidth="1"/>
    <col min="12317" max="12544" width="11.42578125" style="25"/>
    <col min="12545" max="12545" width="3.42578125" style="25" customWidth="1"/>
    <col min="12546" max="12546" width="14.85546875" style="25" customWidth="1"/>
    <col min="12547" max="12547" width="15.42578125" style="25" customWidth="1"/>
    <col min="12548" max="12548" width="10.85546875" style="25" customWidth="1"/>
    <col min="12549" max="12549" width="14.42578125" style="25" customWidth="1"/>
    <col min="12550" max="12552" width="10.85546875" style="25" customWidth="1"/>
    <col min="12553" max="12553" width="14.7109375" style="25" customWidth="1"/>
    <col min="12554" max="12555" width="10.85546875" style="25" customWidth="1"/>
    <col min="12556" max="12556" width="5.7109375" style="25" customWidth="1"/>
    <col min="12557" max="12572" width="13.42578125" style="25" customWidth="1"/>
    <col min="12573" max="12800" width="11.42578125" style="25"/>
    <col min="12801" max="12801" width="3.42578125" style="25" customWidth="1"/>
    <col min="12802" max="12802" width="14.85546875" style="25" customWidth="1"/>
    <col min="12803" max="12803" width="15.42578125" style="25" customWidth="1"/>
    <col min="12804" max="12804" width="10.85546875" style="25" customWidth="1"/>
    <col min="12805" max="12805" width="14.42578125" style="25" customWidth="1"/>
    <col min="12806" max="12808" width="10.85546875" style="25" customWidth="1"/>
    <col min="12809" max="12809" width="14.7109375" style="25" customWidth="1"/>
    <col min="12810" max="12811" width="10.85546875" style="25" customWidth="1"/>
    <col min="12812" max="12812" width="5.7109375" style="25" customWidth="1"/>
    <col min="12813" max="12828" width="13.42578125" style="25" customWidth="1"/>
    <col min="12829" max="13056" width="11.42578125" style="25"/>
    <col min="13057" max="13057" width="3.42578125" style="25" customWidth="1"/>
    <col min="13058" max="13058" width="14.85546875" style="25" customWidth="1"/>
    <col min="13059" max="13059" width="15.42578125" style="25" customWidth="1"/>
    <col min="13060" max="13060" width="10.85546875" style="25" customWidth="1"/>
    <col min="13061" max="13061" width="14.42578125" style="25" customWidth="1"/>
    <col min="13062" max="13064" width="10.85546875" style="25" customWidth="1"/>
    <col min="13065" max="13065" width="14.7109375" style="25" customWidth="1"/>
    <col min="13066" max="13067" width="10.85546875" style="25" customWidth="1"/>
    <col min="13068" max="13068" width="5.7109375" style="25" customWidth="1"/>
    <col min="13069" max="13084" width="13.42578125" style="25" customWidth="1"/>
    <col min="13085" max="13312" width="11.42578125" style="25"/>
    <col min="13313" max="13313" width="3.42578125" style="25" customWidth="1"/>
    <col min="13314" max="13314" width="14.85546875" style="25" customWidth="1"/>
    <col min="13315" max="13315" width="15.42578125" style="25" customWidth="1"/>
    <col min="13316" max="13316" width="10.85546875" style="25" customWidth="1"/>
    <col min="13317" max="13317" width="14.42578125" style="25" customWidth="1"/>
    <col min="13318" max="13320" width="10.85546875" style="25" customWidth="1"/>
    <col min="13321" max="13321" width="14.7109375" style="25" customWidth="1"/>
    <col min="13322" max="13323" width="10.85546875" style="25" customWidth="1"/>
    <col min="13324" max="13324" width="5.7109375" style="25" customWidth="1"/>
    <col min="13325" max="13340" width="13.42578125" style="25" customWidth="1"/>
    <col min="13341" max="13568" width="11.42578125" style="25"/>
    <col min="13569" max="13569" width="3.42578125" style="25" customWidth="1"/>
    <col min="13570" max="13570" width="14.85546875" style="25" customWidth="1"/>
    <col min="13571" max="13571" width="15.42578125" style="25" customWidth="1"/>
    <col min="13572" max="13572" width="10.85546875" style="25" customWidth="1"/>
    <col min="13573" max="13573" width="14.42578125" style="25" customWidth="1"/>
    <col min="13574" max="13576" width="10.85546875" style="25" customWidth="1"/>
    <col min="13577" max="13577" width="14.7109375" style="25" customWidth="1"/>
    <col min="13578" max="13579" width="10.85546875" style="25" customWidth="1"/>
    <col min="13580" max="13580" width="5.7109375" style="25" customWidth="1"/>
    <col min="13581" max="13596" width="13.42578125" style="25" customWidth="1"/>
    <col min="13597" max="13824" width="11.42578125" style="25"/>
    <col min="13825" max="13825" width="3.42578125" style="25" customWidth="1"/>
    <col min="13826" max="13826" width="14.85546875" style="25" customWidth="1"/>
    <col min="13827" max="13827" width="15.42578125" style="25" customWidth="1"/>
    <col min="13828" max="13828" width="10.85546875" style="25" customWidth="1"/>
    <col min="13829" max="13829" width="14.42578125" style="25" customWidth="1"/>
    <col min="13830" max="13832" width="10.85546875" style="25" customWidth="1"/>
    <col min="13833" max="13833" width="14.7109375" style="25" customWidth="1"/>
    <col min="13834" max="13835" width="10.85546875" style="25" customWidth="1"/>
    <col min="13836" max="13836" width="5.7109375" style="25" customWidth="1"/>
    <col min="13837" max="13852" width="13.42578125" style="25" customWidth="1"/>
    <col min="13853" max="14080" width="11.42578125" style="25"/>
    <col min="14081" max="14081" width="3.42578125" style="25" customWidth="1"/>
    <col min="14082" max="14082" width="14.85546875" style="25" customWidth="1"/>
    <col min="14083" max="14083" width="15.42578125" style="25" customWidth="1"/>
    <col min="14084" max="14084" width="10.85546875" style="25" customWidth="1"/>
    <col min="14085" max="14085" width="14.42578125" style="25" customWidth="1"/>
    <col min="14086" max="14088" width="10.85546875" style="25" customWidth="1"/>
    <col min="14089" max="14089" width="14.7109375" style="25" customWidth="1"/>
    <col min="14090" max="14091" width="10.85546875" style="25" customWidth="1"/>
    <col min="14092" max="14092" width="5.7109375" style="25" customWidth="1"/>
    <col min="14093" max="14108" width="13.42578125" style="25" customWidth="1"/>
    <col min="14109" max="14336" width="11.42578125" style="25"/>
    <col min="14337" max="14337" width="3.42578125" style="25" customWidth="1"/>
    <col min="14338" max="14338" width="14.85546875" style="25" customWidth="1"/>
    <col min="14339" max="14339" width="15.42578125" style="25" customWidth="1"/>
    <col min="14340" max="14340" width="10.85546875" style="25" customWidth="1"/>
    <col min="14341" max="14341" width="14.42578125" style="25" customWidth="1"/>
    <col min="14342" max="14344" width="10.85546875" style="25" customWidth="1"/>
    <col min="14345" max="14345" width="14.7109375" style="25" customWidth="1"/>
    <col min="14346" max="14347" width="10.85546875" style="25" customWidth="1"/>
    <col min="14348" max="14348" width="5.7109375" style="25" customWidth="1"/>
    <col min="14349" max="14364" width="13.42578125" style="25" customWidth="1"/>
    <col min="14365" max="14592" width="11.42578125" style="25"/>
    <col min="14593" max="14593" width="3.42578125" style="25" customWidth="1"/>
    <col min="14594" max="14594" width="14.85546875" style="25" customWidth="1"/>
    <col min="14595" max="14595" width="15.42578125" style="25" customWidth="1"/>
    <col min="14596" max="14596" width="10.85546875" style="25" customWidth="1"/>
    <col min="14597" max="14597" width="14.42578125" style="25" customWidth="1"/>
    <col min="14598" max="14600" width="10.85546875" style="25" customWidth="1"/>
    <col min="14601" max="14601" width="14.7109375" style="25" customWidth="1"/>
    <col min="14602" max="14603" width="10.85546875" style="25" customWidth="1"/>
    <col min="14604" max="14604" width="5.7109375" style="25" customWidth="1"/>
    <col min="14605" max="14620" width="13.42578125" style="25" customWidth="1"/>
    <col min="14621" max="14848" width="11.42578125" style="25"/>
    <col min="14849" max="14849" width="3.42578125" style="25" customWidth="1"/>
    <col min="14850" max="14850" width="14.85546875" style="25" customWidth="1"/>
    <col min="14851" max="14851" width="15.42578125" style="25" customWidth="1"/>
    <col min="14852" max="14852" width="10.85546875" style="25" customWidth="1"/>
    <col min="14853" max="14853" width="14.42578125" style="25" customWidth="1"/>
    <col min="14854" max="14856" width="10.85546875" style="25" customWidth="1"/>
    <col min="14857" max="14857" width="14.7109375" style="25" customWidth="1"/>
    <col min="14858" max="14859" width="10.85546875" style="25" customWidth="1"/>
    <col min="14860" max="14860" width="5.7109375" style="25" customWidth="1"/>
    <col min="14861" max="14876" width="13.42578125" style="25" customWidth="1"/>
    <col min="14877" max="15104" width="11.42578125" style="25"/>
    <col min="15105" max="15105" width="3.42578125" style="25" customWidth="1"/>
    <col min="15106" max="15106" width="14.85546875" style="25" customWidth="1"/>
    <col min="15107" max="15107" width="15.42578125" style="25" customWidth="1"/>
    <col min="15108" max="15108" width="10.85546875" style="25" customWidth="1"/>
    <col min="15109" max="15109" width="14.42578125" style="25" customWidth="1"/>
    <col min="15110" max="15112" width="10.85546875" style="25" customWidth="1"/>
    <col min="15113" max="15113" width="14.7109375" style="25" customWidth="1"/>
    <col min="15114" max="15115" width="10.85546875" style="25" customWidth="1"/>
    <col min="15116" max="15116" width="5.7109375" style="25" customWidth="1"/>
    <col min="15117" max="15132" width="13.42578125" style="25" customWidth="1"/>
    <col min="15133" max="15360" width="11.42578125" style="25"/>
    <col min="15361" max="15361" width="3.42578125" style="25" customWidth="1"/>
    <col min="15362" max="15362" width="14.85546875" style="25" customWidth="1"/>
    <col min="15363" max="15363" width="15.42578125" style="25" customWidth="1"/>
    <col min="15364" max="15364" width="10.85546875" style="25" customWidth="1"/>
    <col min="15365" max="15365" width="14.42578125" style="25" customWidth="1"/>
    <col min="15366" max="15368" width="10.85546875" style="25" customWidth="1"/>
    <col min="15369" max="15369" width="14.7109375" style="25" customWidth="1"/>
    <col min="15370" max="15371" width="10.85546875" style="25" customWidth="1"/>
    <col min="15372" max="15372" width="5.7109375" style="25" customWidth="1"/>
    <col min="15373" max="15388" width="13.42578125" style="25" customWidth="1"/>
    <col min="15389" max="15616" width="11.42578125" style="25"/>
    <col min="15617" max="15617" width="3.42578125" style="25" customWidth="1"/>
    <col min="15618" max="15618" width="14.85546875" style="25" customWidth="1"/>
    <col min="15619" max="15619" width="15.42578125" style="25" customWidth="1"/>
    <col min="15620" max="15620" width="10.85546875" style="25" customWidth="1"/>
    <col min="15621" max="15621" width="14.42578125" style="25" customWidth="1"/>
    <col min="15622" max="15624" width="10.85546875" style="25" customWidth="1"/>
    <col min="15625" max="15625" width="14.7109375" style="25" customWidth="1"/>
    <col min="15626" max="15627" width="10.85546875" style="25" customWidth="1"/>
    <col min="15628" max="15628" width="5.7109375" style="25" customWidth="1"/>
    <col min="15629" max="15644" width="13.42578125" style="25" customWidth="1"/>
    <col min="15645" max="15872" width="11.42578125" style="25"/>
    <col min="15873" max="15873" width="3.42578125" style="25" customWidth="1"/>
    <col min="15874" max="15874" width="14.85546875" style="25" customWidth="1"/>
    <col min="15875" max="15875" width="15.42578125" style="25" customWidth="1"/>
    <col min="15876" max="15876" width="10.85546875" style="25" customWidth="1"/>
    <col min="15877" max="15877" width="14.42578125" style="25" customWidth="1"/>
    <col min="15878" max="15880" width="10.85546875" style="25" customWidth="1"/>
    <col min="15881" max="15881" width="14.7109375" style="25" customWidth="1"/>
    <col min="15882" max="15883" width="10.85546875" style="25" customWidth="1"/>
    <col min="15884" max="15884" width="5.7109375" style="25" customWidth="1"/>
    <col min="15885" max="15900" width="13.42578125" style="25" customWidth="1"/>
    <col min="15901" max="16128" width="11.42578125" style="25"/>
    <col min="16129" max="16129" width="3.42578125" style="25" customWidth="1"/>
    <col min="16130" max="16130" width="14.85546875" style="25" customWidth="1"/>
    <col min="16131" max="16131" width="15.42578125" style="25" customWidth="1"/>
    <col min="16132" max="16132" width="10.85546875" style="25" customWidth="1"/>
    <col min="16133" max="16133" width="14.42578125" style="25" customWidth="1"/>
    <col min="16134" max="16136" width="10.85546875" style="25" customWidth="1"/>
    <col min="16137" max="16137" width="14.7109375" style="25" customWidth="1"/>
    <col min="16138" max="16139" width="10.85546875" style="25" customWidth="1"/>
    <col min="16140" max="16140" width="5.7109375" style="25" customWidth="1"/>
    <col min="16141" max="16156" width="13.42578125" style="25" customWidth="1"/>
    <col min="16157" max="16384" width="11.42578125" style="25"/>
  </cols>
  <sheetData>
    <row r="1" spans="1:17" ht="12.75" customHeight="1">
      <c r="B1" s="26"/>
    </row>
    <row r="2" spans="1:17" ht="50.1" customHeight="1">
      <c r="A2" s="285" t="s">
        <v>115</v>
      </c>
      <c r="B2" s="285"/>
      <c r="C2" s="285"/>
      <c r="D2" s="285"/>
      <c r="E2" s="285"/>
      <c r="F2" s="285"/>
      <c r="G2" s="285"/>
      <c r="H2" s="285"/>
      <c r="I2" s="285"/>
      <c r="J2" s="285"/>
      <c r="K2" s="285"/>
      <c r="L2" s="285"/>
    </row>
    <row r="3" spans="1:17" ht="12.75" customHeight="1">
      <c r="A3" s="27" t="s">
        <v>1</v>
      </c>
      <c r="B3" s="27" t="s">
        <v>25</v>
      </c>
      <c r="C3" s="28"/>
      <c r="D3" s="28"/>
      <c r="E3" s="28"/>
      <c r="F3" s="28"/>
      <c r="G3" s="28"/>
      <c r="H3" s="28"/>
      <c r="I3" s="28"/>
      <c r="J3" s="28"/>
      <c r="K3" s="28"/>
      <c r="L3" s="28"/>
    </row>
    <row r="4" spans="1:17" ht="6" customHeight="1">
      <c r="A4" s="29"/>
      <c r="B4" s="29"/>
      <c r="C4" s="29"/>
      <c r="D4" s="29"/>
      <c r="E4" s="29"/>
      <c r="F4" s="29"/>
      <c r="G4" s="29"/>
      <c r="H4" s="29"/>
      <c r="I4" s="29"/>
      <c r="J4" s="29"/>
      <c r="K4" s="29"/>
      <c r="L4" s="29"/>
    </row>
    <row r="5" spans="1:17" ht="20.100000000000001" customHeight="1">
      <c r="A5" s="1"/>
      <c r="B5" s="1" t="s">
        <v>28</v>
      </c>
      <c r="C5" s="286" t="s">
        <v>119</v>
      </c>
      <c r="D5" s="287"/>
      <c r="E5" s="287"/>
      <c r="F5" s="287"/>
      <c r="G5" s="24" t="s">
        <v>97</v>
      </c>
      <c r="H5" s="113"/>
      <c r="I5" s="24" t="s">
        <v>26</v>
      </c>
      <c r="J5" s="289"/>
      <c r="K5" s="290"/>
      <c r="L5" s="290"/>
    </row>
    <row r="6" spans="1:17" ht="20.100000000000001" customHeight="1">
      <c r="A6" s="1"/>
      <c r="B6" s="1" t="s">
        <v>27</v>
      </c>
      <c r="C6" s="288"/>
      <c r="D6" s="288"/>
      <c r="E6" s="288"/>
      <c r="F6" s="288"/>
      <c r="G6" s="24" t="s">
        <v>229</v>
      </c>
      <c r="H6" s="115"/>
      <c r="I6" s="1"/>
      <c r="J6" s="1"/>
      <c r="K6" s="1"/>
      <c r="L6" s="1"/>
    </row>
    <row r="7" spans="1:17" ht="20.100000000000001" customHeight="1">
      <c r="A7" s="1"/>
      <c r="B7" s="1" t="s">
        <v>29</v>
      </c>
      <c r="C7" s="287"/>
      <c r="D7" s="287"/>
      <c r="E7" s="287"/>
      <c r="F7" s="287"/>
      <c r="G7" s="24" t="s">
        <v>100</v>
      </c>
      <c r="H7" s="291"/>
      <c r="I7" s="292"/>
      <c r="J7" s="292"/>
      <c r="K7" s="292"/>
      <c r="L7" s="292"/>
    </row>
    <row r="8" spans="1:17" ht="12.95" customHeight="1">
      <c r="A8" s="29"/>
      <c r="B8" s="29"/>
      <c r="C8" s="29"/>
      <c r="D8" s="29"/>
      <c r="E8" s="29"/>
      <c r="F8" s="29"/>
      <c r="G8" s="29"/>
      <c r="H8" s="29"/>
      <c r="I8" s="29"/>
      <c r="J8" s="29"/>
      <c r="K8" s="29"/>
      <c r="L8" s="29"/>
    </row>
    <row r="9" spans="1:17" ht="12.75" customHeight="1">
      <c r="A9" s="27" t="s">
        <v>2</v>
      </c>
      <c r="B9" s="27" t="s">
        <v>3</v>
      </c>
      <c r="C9" s="28"/>
      <c r="D9" s="28"/>
      <c r="E9" s="28"/>
      <c r="F9" s="28"/>
      <c r="G9" s="28"/>
      <c r="H9" s="28"/>
      <c r="I9" s="28"/>
      <c r="J9" s="28"/>
      <c r="K9" s="28"/>
      <c r="L9" s="28"/>
    </row>
    <row r="10" spans="1:17" ht="6" customHeight="1"/>
    <row r="11" spans="1:17" ht="15.75" customHeight="1"/>
    <row r="12" spans="1:17" ht="15.75" customHeight="1">
      <c r="J12" s="26"/>
      <c r="Q12" s="26"/>
    </row>
    <row r="13" spans="1:17" ht="15.75" customHeight="1">
      <c r="B13" s="31" t="s">
        <v>116</v>
      </c>
      <c r="C13" s="31"/>
      <c r="D13" s="32">
        <v>16</v>
      </c>
      <c r="E13" s="31" t="s">
        <v>240</v>
      </c>
      <c r="Q13" s="33"/>
    </row>
    <row r="14" spans="1:17" ht="15.75" customHeight="1">
      <c r="B14" s="31"/>
      <c r="C14" s="31"/>
      <c r="D14" s="31"/>
      <c r="E14" s="31"/>
      <c r="Q14" s="26"/>
    </row>
    <row r="15" spans="1:17" ht="15.75" customHeight="1">
      <c r="B15" s="31" t="s">
        <v>117</v>
      </c>
      <c r="C15" s="31"/>
      <c r="D15" s="32">
        <v>16</v>
      </c>
      <c r="E15" s="31" t="s">
        <v>241</v>
      </c>
      <c r="Q15" s="26"/>
    </row>
    <row r="16" spans="1:17" ht="15.75" customHeight="1">
      <c r="B16" s="31"/>
      <c r="C16" s="31"/>
      <c r="D16" s="31"/>
      <c r="E16" s="31"/>
      <c r="Q16" s="26"/>
    </row>
    <row r="17" spans="2:17" ht="15.75" customHeight="1">
      <c r="B17" s="31" t="s">
        <v>118</v>
      </c>
      <c r="C17" s="31"/>
      <c r="D17" s="32">
        <v>0.2</v>
      </c>
      <c r="E17" s="31" t="s">
        <v>241</v>
      </c>
      <c r="Q17" s="26" t="s">
        <v>119</v>
      </c>
    </row>
    <row r="18" spans="2:17" ht="15.75" customHeight="1">
      <c r="B18" s="31"/>
      <c r="C18" s="31"/>
      <c r="D18" s="31"/>
      <c r="E18" s="31"/>
      <c r="Q18" s="26"/>
    </row>
    <row r="19" spans="2:17" ht="15.75" customHeight="1">
      <c r="B19" s="31" t="s">
        <v>120</v>
      </c>
      <c r="C19" s="31"/>
      <c r="D19" s="32">
        <v>3</v>
      </c>
      <c r="E19" s="31"/>
      <c r="Q19" s="26"/>
    </row>
    <row r="20" spans="2:17" ht="15.75" customHeight="1">
      <c r="B20" s="26"/>
      <c r="C20" s="26"/>
      <c r="D20" s="26"/>
      <c r="E20" s="26"/>
      <c r="Q20" s="26"/>
    </row>
    <row r="21" spans="2:17" ht="15.75" customHeight="1">
      <c r="B21" s="26"/>
      <c r="C21" s="26"/>
      <c r="D21" s="26"/>
      <c r="E21" s="26"/>
      <c r="Q21" s="26"/>
    </row>
    <row r="22" spans="2:17" ht="15.75" customHeight="1">
      <c r="B22" s="34" t="s">
        <v>121</v>
      </c>
      <c r="C22" s="26"/>
      <c r="D22" s="35">
        <f xml:space="preserve"> (D13 / (D17*D17 * D19)) + D15 / D17</f>
        <v>213.33333333333331</v>
      </c>
      <c r="E22" s="31" t="s">
        <v>128</v>
      </c>
      <c r="Q22" s="26"/>
    </row>
    <row r="23" spans="2:17" ht="15.75" customHeight="1">
      <c r="B23" s="26"/>
      <c r="C23" s="26"/>
      <c r="D23" s="26"/>
      <c r="E23" s="26"/>
      <c r="Q23" s="26"/>
    </row>
    <row r="24" spans="2:17" ht="15.75" customHeight="1"/>
    <row r="25" spans="2:17" ht="15.75" customHeight="1">
      <c r="B25" s="25" t="s">
        <v>122</v>
      </c>
    </row>
    <row r="26" spans="2:17" ht="15.75" customHeight="1">
      <c r="B26" s="25" t="s">
        <v>123</v>
      </c>
    </row>
    <row r="27" spans="2:17" ht="15.75" customHeight="1">
      <c r="B27" s="25" t="s">
        <v>124</v>
      </c>
    </row>
    <row r="28" spans="2:17" ht="15.75" customHeight="1"/>
    <row r="29" spans="2:17" ht="15.75" customHeight="1">
      <c r="B29" s="36" t="s">
        <v>125</v>
      </c>
    </row>
    <row r="30" spans="2:17" ht="15.75" customHeight="1"/>
    <row r="31" spans="2:17" ht="15.75" customHeight="1"/>
    <row r="38" spans="3:3" ht="15">
      <c r="C38" s="26"/>
    </row>
  </sheetData>
  <sheetProtection algorithmName="SHA-512" hashValue="1KpWDfdjdSzzEqdkZ/0JgKFa4D6LvGwIk6JC7eW/02qqaUxXqtKULW64OaHsdD2O2jj38yT7Q+vTNyHa/pEEMw==" saltValue="Jt+foUTD7IVbd0Vn52eLCQ==" spinCount="100000" sheet="1" objects="1" scenarios="1" selectLockedCells="1"/>
  <mergeCells count="6">
    <mergeCell ref="C7:F7"/>
    <mergeCell ref="A2:L2"/>
    <mergeCell ref="C5:F5"/>
    <mergeCell ref="C6:F6"/>
    <mergeCell ref="J5:L5"/>
    <mergeCell ref="H7:L7"/>
  </mergeCells>
  <pageMargins left="0.78740157480314965" right="0.78740157480314965" top="0.94488188976377963" bottom="0.78740157480314965" header="0.51181102362204722" footer="0.51181102362204722"/>
  <pageSetup paperSize="9" scale="64" orientation="portrait" r:id="rId1"/>
  <headerFooter>
    <oddFooter>&amp;L&amp;8&amp;F&amp;C
&amp;R&amp;8Bemessungshilfe Schöck Combat® V 2.2</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L38"/>
  <sheetViews>
    <sheetView showGridLines="0" showRuler="0" zoomScale="90" zoomScaleNormal="90" zoomScalePageLayoutView="90" workbookViewId="0">
      <selection activeCell="C5" sqref="C5:F5"/>
    </sheetView>
  </sheetViews>
  <sheetFormatPr baseColWidth="10" defaultRowHeight="12.75"/>
  <cols>
    <col min="1" max="1" width="3.42578125" style="25" customWidth="1"/>
    <col min="2" max="2" width="14.85546875" style="25" customWidth="1"/>
    <col min="3" max="3" width="15.42578125" style="25" customWidth="1"/>
    <col min="4" max="4" width="10.85546875" style="25" customWidth="1"/>
    <col min="5" max="5" width="14.42578125" style="25" customWidth="1"/>
    <col min="6" max="8" width="10.85546875" style="25" customWidth="1"/>
    <col min="9" max="9" width="14.7109375" style="25" customWidth="1"/>
    <col min="10" max="11" width="10.85546875" style="25" customWidth="1"/>
    <col min="12" max="12" width="5.7109375" style="25" customWidth="1"/>
    <col min="13" max="28" width="13.42578125" style="25" customWidth="1"/>
    <col min="29" max="256" width="11.42578125" style="25"/>
    <col min="257" max="257" width="3.42578125" style="25" customWidth="1"/>
    <col min="258" max="258" width="14.85546875" style="25" customWidth="1"/>
    <col min="259" max="259" width="15.42578125" style="25" customWidth="1"/>
    <col min="260" max="260" width="10.85546875" style="25" customWidth="1"/>
    <col min="261" max="261" width="14.42578125" style="25" customWidth="1"/>
    <col min="262" max="264" width="10.85546875" style="25" customWidth="1"/>
    <col min="265" max="265" width="14.7109375" style="25" customWidth="1"/>
    <col min="266" max="267" width="10.85546875" style="25" customWidth="1"/>
    <col min="268" max="268" width="5.7109375" style="25" customWidth="1"/>
    <col min="269" max="284" width="13.42578125" style="25" customWidth="1"/>
    <col min="285" max="512" width="11.42578125" style="25"/>
    <col min="513" max="513" width="3.42578125" style="25" customWidth="1"/>
    <col min="514" max="514" width="14.85546875" style="25" customWidth="1"/>
    <col min="515" max="515" width="15.42578125" style="25" customWidth="1"/>
    <col min="516" max="516" width="10.85546875" style="25" customWidth="1"/>
    <col min="517" max="517" width="14.42578125" style="25" customWidth="1"/>
    <col min="518" max="520" width="10.85546875" style="25" customWidth="1"/>
    <col min="521" max="521" width="14.7109375" style="25" customWidth="1"/>
    <col min="522" max="523" width="10.85546875" style="25" customWidth="1"/>
    <col min="524" max="524" width="5.7109375" style="25" customWidth="1"/>
    <col min="525" max="540" width="13.42578125" style="25" customWidth="1"/>
    <col min="541" max="768" width="11.42578125" style="25"/>
    <col min="769" max="769" width="3.42578125" style="25" customWidth="1"/>
    <col min="770" max="770" width="14.85546875" style="25" customWidth="1"/>
    <col min="771" max="771" width="15.42578125" style="25" customWidth="1"/>
    <col min="772" max="772" width="10.85546875" style="25" customWidth="1"/>
    <col min="773" max="773" width="14.42578125" style="25" customWidth="1"/>
    <col min="774" max="776" width="10.85546875" style="25" customWidth="1"/>
    <col min="777" max="777" width="14.7109375" style="25" customWidth="1"/>
    <col min="778" max="779" width="10.85546875" style="25" customWidth="1"/>
    <col min="780" max="780" width="5.7109375" style="25" customWidth="1"/>
    <col min="781" max="796" width="13.42578125" style="25" customWidth="1"/>
    <col min="797" max="1024" width="11.42578125" style="25"/>
    <col min="1025" max="1025" width="3.42578125" style="25" customWidth="1"/>
    <col min="1026" max="1026" width="14.85546875" style="25" customWidth="1"/>
    <col min="1027" max="1027" width="15.42578125" style="25" customWidth="1"/>
    <col min="1028" max="1028" width="10.85546875" style="25" customWidth="1"/>
    <col min="1029" max="1029" width="14.42578125" style="25" customWidth="1"/>
    <col min="1030" max="1032" width="10.85546875" style="25" customWidth="1"/>
    <col min="1033" max="1033" width="14.7109375" style="25" customWidth="1"/>
    <col min="1034" max="1035" width="10.85546875" style="25" customWidth="1"/>
    <col min="1036" max="1036" width="5.7109375" style="25" customWidth="1"/>
    <col min="1037" max="1052" width="13.42578125" style="25" customWidth="1"/>
    <col min="1053" max="1280" width="11.42578125" style="25"/>
    <col min="1281" max="1281" width="3.42578125" style="25" customWidth="1"/>
    <col min="1282" max="1282" width="14.85546875" style="25" customWidth="1"/>
    <col min="1283" max="1283" width="15.42578125" style="25" customWidth="1"/>
    <col min="1284" max="1284" width="10.85546875" style="25" customWidth="1"/>
    <col min="1285" max="1285" width="14.42578125" style="25" customWidth="1"/>
    <col min="1286" max="1288" width="10.85546875" style="25" customWidth="1"/>
    <col min="1289" max="1289" width="14.7109375" style="25" customWidth="1"/>
    <col min="1290" max="1291" width="10.85546875" style="25" customWidth="1"/>
    <col min="1292" max="1292" width="5.7109375" style="25" customWidth="1"/>
    <col min="1293" max="1308" width="13.42578125" style="25" customWidth="1"/>
    <col min="1309" max="1536" width="11.42578125" style="25"/>
    <col min="1537" max="1537" width="3.42578125" style="25" customWidth="1"/>
    <col min="1538" max="1538" width="14.85546875" style="25" customWidth="1"/>
    <col min="1539" max="1539" width="15.42578125" style="25" customWidth="1"/>
    <col min="1540" max="1540" width="10.85546875" style="25" customWidth="1"/>
    <col min="1541" max="1541" width="14.42578125" style="25" customWidth="1"/>
    <col min="1542" max="1544" width="10.85546875" style="25" customWidth="1"/>
    <col min="1545" max="1545" width="14.7109375" style="25" customWidth="1"/>
    <col min="1546" max="1547" width="10.85546875" style="25" customWidth="1"/>
    <col min="1548" max="1548" width="5.7109375" style="25" customWidth="1"/>
    <col min="1549" max="1564" width="13.42578125" style="25" customWidth="1"/>
    <col min="1565" max="1792" width="11.42578125" style="25"/>
    <col min="1793" max="1793" width="3.42578125" style="25" customWidth="1"/>
    <col min="1794" max="1794" width="14.85546875" style="25" customWidth="1"/>
    <col min="1795" max="1795" width="15.42578125" style="25" customWidth="1"/>
    <col min="1796" max="1796" width="10.85546875" style="25" customWidth="1"/>
    <col min="1797" max="1797" width="14.42578125" style="25" customWidth="1"/>
    <col min="1798" max="1800" width="10.85546875" style="25" customWidth="1"/>
    <col min="1801" max="1801" width="14.7109375" style="25" customWidth="1"/>
    <col min="1802" max="1803" width="10.85546875" style="25" customWidth="1"/>
    <col min="1804" max="1804" width="5.7109375" style="25" customWidth="1"/>
    <col min="1805" max="1820" width="13.42578125" style="25" customWidth="1"/>
    <col min="1821" max="2048" width="11.42578125" style="25"/>
    <col min="2049" max="2049" width="3.42578125" style="25" customWidth="1"/>
    <col min="2050" max="2050" width="14.85546875" style="25" customWidth="1"/>
    <col min="2051" max="2051" width="15.42578125" style="25" customWidth="1"/>
    <col min="2052" max="2052" width="10.85546875" style="25" customWidth="1"/>
    <col min="2053" max="2053" width="14.42578125" style="25" customWidth="1"/>
    <col min="2054" max="2056" width="10.85546875" style="25" customWidth="1"/>
    <col min="2057" max="2057" width="14.7109375" style="25" customWidth="1"/>
    <col min="2058" max="2059" width="10.85546875" style="25" customWidth="1"/>
    <col min="2060" max="2060" width="5.7109375" style="25" customWidth="1"/>
    <col min="2061" max="2076" width="13.42578125" style="25" customWidth="1"/>
    <col min="2077" max="2304" width="11.42578125" style="25"/>
    <col min="2305" max="2305" width="3.42578125" style="25" customWidth="1"/>
    <col min="2306" max="2306" width="14.85546875" style="25" customWidth="1"/>
    <col min="2307" max="2307" width="15.42578125" style="25" customWidth="1"/>
    <col min="2308" max="2308" width="10.85546875" style="25" customWidth="1"/>
    <col min="2309" max="2309" width="14.42578125" style="25" customWidth="1"/>
    <col min="2310" max="2312" width="10.85546875" style="25" customWidth="1"/>
    <col min="2313" max="2313" width="14.7109375" style="25" customWidth="1"/>
    <col min="2314" max="2315" width="10.85546875" style="25" customWidth="1"/>
    <col min="2316" max="2316" width="5.7109375" style="25" customWidth="1"/>
    <col min="2317" max="2332" width="13.42578125" style="25" customWidth="1"/>
    <col min="2333" max="2560" width="11.42578125" style="25"/>
    <col min="2561" max="2561" width="3.42578125" style="25" customWidth="1"/>
    <col min="2562" max="2562" width="14.85546875" style="25" customWidth="1"/>
    <col min="2563" max="2563" width="15.42578125" style="25" customWidth="1"/>
    <col min="2564" max="2564" width="10.85546875" style="25" customWidth="1"/>
    <col min="2565" max="2565" width="14.42578125" style="25" customWidth="1"/>
    <col min="2566" max="2568" width="10.85546875" style="25" customWidth="1"/>
    <col min="2569" max="2569" width="14.7109375" style="25" customWidth="1"/>
    <col min="2570" max="2571" width="10.85546875" style="25" customWidth="1"/>
    <col min="2572" max="2572" width="5.7109375" style="25" customWidth="1"/>
    <col min="2573" max="2588" width="13.42578125" style="25" customWidth="1"/>
    <col min="2589" max="2816" width="11.42578125" style="25"/>
    <col min="2817" max="2817" width="3.42578125" style="25" customWidth="1"/>
    <col min="2818" max="2818" width="14.85546875" style="25" customWidth="1"/>
    <col min="2819" max="2819" width="15.42578125" style="25" customWidth="1"/>
    <col min="2820" max="2820" width="10.85546875" style="25" customWidth="1"/>
    <col min="2821" max="2821" width="14.42578125" style="25" customWidth="1"/>
    <col min="2822" max="2824" width="10.85546875" style="25" customWidth="1"/>
    <col min="2825" max="2825" width="14.7109375" style="25" customWidth="1"/>
    <col min="2826" max="2827" width="10.85546875" style="25" customWidth="1"/>
    <col min="2828" max="2828" width="5.7109375" style="25" customWidth="1"/>
    <col min="2829" max="2844" width="13.42578125" style="25" customWidth="1"/>
    <col min="2845" max="3072" width="11.42578125" style="25"/>
    <col min="3073" max="3073" width="3.42578125" style="25" customWidth="1"/>
    <col min="3074" max="3074" width="14.85546875" style="25" customWidth="1"/>
    <col min="3075" max="3075" width="15.42578125" style="25" customWidth="1"/>
    <col min="3076" max="3076" width="10.85546875" style="25" customWidth="1"/>
    <col min="3077" max="3077" width="14.42578125" style="25" customWidth="1"/>
    <col min="3078" max="3080" width="10.85546875" style="25" customWidth="1"/>
    <col min="3081" max="3081" width="14.7109375" style="25" customWidth="1"/>
    <col min="3082" max="3083" width="10.85546875" style="25" customWidth="1"/>
    <col min="3084" max="3084" width="5.7109375" style="25" customWidth="1"/>
    <col min="3085" max="3100" width="13.42578125" style="25" customWidth="1"/>
    <col min="3101" max="3328" width="11.42578125" style="25"/>
    <col min="3329" max="3329" width="3.42578125" style="25" customWidth="1"/>
    <col min="3330" max="3330" width="14.85546875" style="25" customWidth="1"/>
    <col min="3331" max="3331" width="15.42578125" style="25" customWidth="1"/>
    <col min="3332" max="3332" width="10.85546875" style="25" customWidth="1"/>
    <col min="3333" max="3333" width="14.42578125" style="25" customWidth="1"/>
    <col min="3334" max="3336" width="10.85546875" style="25" customWidth="1"/>
    <col min="3337" max="3337" width="14.7109375" style="25" customWidth="1"/>
    <col min="3338" max="3339" width="10.85546875" style="25" customWidth="1"/>
    <col min="3340" max="3340" width="5.7109375" style="25" customWidth="1"/>
    <col min="3341" max="3356" width="13.42578125" style="25" customWidth="1"/>
    <col min="3357" max="3584" width="11.42578125" style="25"/>
    <col min="3585" max="3585" width="3.42578125" style="25" customWidth="1"/>
    <col min="3586" max="3586" width="14.85546875" style="25" customWidth="1"/>
    <col min="3587" max="3587" width="15.42578125" style="25" customWidth="1"/>
    <col min="3588" max="3588" width="10.85546875" style="25" customWidth="1"/>
    <col min="3589" max="3589" width="14.42578125" style="25" customWidth="1"/>
    <col min="3590" max="3592" width="10.85546875" style="25" customWidth="1"/>
    <col min="3593" max="3593" width="14.7109375" style="25" customWidth="1"/>
    <col min="3594" max="3595" width="10.85546875" style="25" customWidth="1"/>
    <col min="3596" max="3596" width="5.7109375" style="25" customWidth="1"/>
    <col min="3597" max="3612" width="13.42578125" style="25" customWidth="1"/>
    <col min="3613" max="3840" width="11.42578125" style="25"/>
    <col min="3841" max="3841" width="3.42578125" style="25" customWidth="1"/>
    <col min="3842" max="3842" width="14.85546875" style="25" customWidth="1"/>
    <col min="3843" max="3843" width="15.42578125" style="25" customWidth="1"/>
    <col min="3844" max="3844" width="10.85546875" style="25" customWidth="1"/>
    <col min="3845" max="3845" width="14.42578125" style="25" customWidth="1"/>
    <col min="3846" max="3848" width="10.85546875" style="25" customWidth="1"/>
    <col min="3849" max="3849" width="14.7109375" style="25" customWidth="1"/>
    <col min="3850" max="3851" width="10.85546875" style="25" customWidth="1"/>
    <col min="3852" max="3852" width="5.7109375" style="25" customWidth="1"/>
    <col min="3853" max="3868" width="13.42578125" style="25" customWidth="1"/>
    <col min="3869" max="4096" width="11.42578125" style="25"/>
    <col min="4097" max="4097" width="3.42578125" style="25" customWidth="1"/>
    <col min="4098" max="4098" width="14.85546875" style="25" customWidth="1"/>
    <col min="4099" max="4099" width="15.42578125" style="25" customWidth="1"/>
    <col min="4100" max="4100" width="10.85546875" style="25" customWidth="1"/>
    <col min="4101" max="4101" width="14.42578125" style="25" customWidth="1"/>
    <col min="4102" max="4104" width="10.85546875" style="25" customWidth="1"/>
    <col min="4105" max="4105" width="14.7109375" style="25" customWidth="1"/>
    <col min="4106" max="4107" width="10.85546875" style="25" customWidth="1"/>
    <col min="4108" max="4108" width="5.7109375" style="25" customWidth="1"/>
    <col min="4109" max="4124" width="13.42578125" style="25" customWidth="1"/>
    <col min="4125" max="4352" width="11.42578125" style="25"/>
    <col min="4353" max="4353" width="3.42578125" style="25" customWidth="1"/>
    <col min="4354" max="4354" width="14.85546875" style="25" customWidth="1"/>
    <col min="4355" max="4355" width="15.42578125" style="25" customWidth="1"/>
    <col min="4356" max="4356" width="10.85546875" style="25" customWidth="1"/>
    <col min="4357" max="4357" width="14.42578125" style="25" customWidth="1"/>
    <col min="4358" max="4360" width="10.85546875" style="25" customWidth="1"/>
    <col min="4361" max="4361" width="14.7109375" style="25" customWidth="1"/>
    <col min="4362" max="4363" width="10.85546875" style="25" customWidth="1"/>
    <col min="4364" max="4364" width="5.7109375" style="25" customWidth="1"/>
    <col min="4365" max="4380" width="13.42578125" style="25" customWidth="1"/>
    <col min="4381" max="4608" width="11.42578125" style="25"/>
    <col min="4609" max="4609" width="3.42578125" style="25" customWidth="1"/>
    <col min="4610" max="4610" width="14.85546875" style="25" customWidth="1"/>
    <col min="4611" max="4611" width="15.42578125" style="25" customWidth="1"/>
    <col min="4612" max="4612" width="10.85546875" style="25" customWidth="1"/>
    <col min="4613" max="4613" width="14.42578125" style="25" customWidth="1"/>
    <col min="4614" max="4616" width="10.85546875" style="25" customWidth="1"/>
    <col min="4617" max="4617" width="14.7109375" style="25" customWidth="1"/>
    <col min="4618" max="4619" width="10.85546875" style="25" customWidth="1"/>
    <col min="4620" max="4620" width="5.7109375" style="25" customWidth="1"/>
    <col min="4621" max="4636" width="13.42578125" style="25" customWidth="1"/>
    <col min="4637" max="4864" width="11.42578125" style="25"/>
    <col min="4865" max="4865" width="3.42578125" style="25" customWidth="1"/>
    <col min="4866" max="4866" width="14.85546875" style="25" customWidth="1"/>
    <col min="4867" max="4867" width="15.42578125" style="25" customWidth="1"/>
    <col min="4868" max="4868" width="10.85546875" style="25" customWidth="1"/>
    <col min="4869" max="4869" width="14.42578125" style="25" customWidth="1"/>
    <col min="4870" max="4872" width="10.85546875" style="25" customWidth="1"/>
    <col min="4873" max="4873" width="14.7109375" style="25" customWidth="1"/>
    <col min="4874" max="4875" width="10.85546875" style="25" customWidth="1"/>
    <col min="4876" max="4876" width="5.7109375" style="25" customWidth="1"/>
    <col min="4877" max="4892" width="13.42578125" style="25" customWidth="1"/>
    <col min="4893" max="5120" width="11.42578125" style="25"/>
    <col min="5121" max="5121" width="3.42578125" style="25" customWidth="1"/>
    <col min="5122" max="5122" width="14.85546875" style="25" customWidth="1"/>
    <col min="5123" max="5123" width="15.42578125" style="25" customWidth="1"/>
    <col min="5124" max="5124" width="10.85546875" style="25" customWidth="1"/>
    <col min="5125" max="5125" width="14.42578125" style="25" customWidth="1"/>
    <col min="5126" max="5128" width="10.85546875" style="25" customWidth="1"/>
    <col min="5129" max="5129" width="14.7109375" style="25" customWidth="1"/>
    <col min="5130" max="5131" width="10.85546875" style="25" customWidth="1"/>
    <col min="5132" max="5132" width="5.7109375" style="25" customWidth="1"/>
    <col min="5133" max="5148" width="13.42578125" style="25" customWidth="1"/>
    <col min="5149" max="5376" width="11.42578125" style="25"/>
    <col min="5377" max="5377" width="3.42578125" style="25" customWidth="1"/>
    <col min="5378" max="5378" width="14.85546875" style="25" customWidth="1"/>
    <col min="5379" max="5379" width="15.42578125" style="25" customWidth="1"/>
    <col min="5380" max="5380" width="10.85546875" style="25" customWidth="1"/>
    <col min="5381" max="5381" width="14.42578125" style="25" customWidth="1"/>
    <col min="5382" max="5384" width="10.85546875" style="25" customWidth="1"/>
    <col min="5385" max="5385" width="14.7109375" style="25" customWidth="1"/>
    <col min="5386" max="5387" width="10.85546875" style="25" customWidth="1"/>
    <col min="5388" max="5388" width="5.7109375" style="25" customWidth="1"/>
    <col min="5389" max="5404" width="13.42578125" style="25" customWidth="1"/>
    <col min="5405" max="5632" width="11.42578125" style="25"/>
    <col min="5633" max="5633" width="3.42578125" style="25" customWidth="1"/>
    <col min="5634" max="5634" width="14.85546875" style="25" customWidth="1"/>
    <col min="5635" max="5635" width="15.42578125" style="25" customWidth="1"/>
    <col min="5636" max="5636" width="10.85546875" style="25" customWidth="1"/>
    <col min="5637" max="5637" width="14.42578125" style="25" customWidth="1"/>
    <col min="5638" max="5640" width="10.85546875" style="25" customWidth="1"/>
    <col min="5641" max="5641" width="14.7109375" style="25" customWidth="1"/>
    <col min="5642" max="5643" width="10.85546875" style="25" customWidth="1"/>
    <col min="5644" max="5644" width="5.7109375" style="25" customWidth="1"/>
    <col min="5645" max="5660" width="13.42578125" style="25" customWidth="1"/>
    <col min="5661" max="5888" width="11.42578125" style="25"/>
    <col min="5889" max="5889" width="3.42578125" style="25" customWidth="1"/>
    <col min="5890" max="5890" width="14.85546875" style="25" customWidth="1"/>
    <col min="5891" max="5891" width="15.42578125" style="25" customWidth="1"/>
    <col min="5892" max="5892" width="10.85546875" style="25" customWidth="1"/>
    <col min="5893" max="5893" width="14.42578125" style="25" customWidth="1"/>
    <col min="5894" max="5896" width="10.85546875" style="25" customWidth="1"/>
    <col min="5897" max="5897" width="14.7109375" style="25" customWidth="1"/>
    <col min="5898" max="5899" width="10.85546875" style="25" customWidth="1"/>
    <col min="5900" max="5900" width="5.7109375" style="25" customWidth="1"/>
    <col min="5901" max="5916" width="13.42578125" style="25" customWidth="1"/>
    <col min="5917" max="6144" width="11.42578125" style="25"/>
    <col min="6145" max="6145" width="3.42578125" style="25" customWidth="1"/>
    <col min="6146" max="6146" width="14.85546875" style="25" customWidth="1"/>
    <col min="6147" max="6147" width="15.42578125" style="25" customWidth="1"/>
    <col min="6148" max="6148" width="10.85546875" style="25" customWidth="1"/>
    <col min="6149" max="6149" width="14.42578125" style="25" customWidth="1"/>
    <col min="6150" max="6152" width="10.85546875" style="25" customWidth="1"/>
    <col min="6153" max="6153" width="14.7109375" style="25" customWidth="1"/>
    <col min="6154" max="6155" width="10.85546875" style="25" customWidth="1"/>
    <col min="6156" max="6156" width="5.7109375" style="25" customWidth="1"/>
    <col min="6157" max="6172" width="13.42578125" style="25" customWidth="1"/>
    <col min="6173" max="6400" width="11.42578125" style="25"/>
    <col min="6401" max="6401" width="3.42578125" style="25" customWidth="1"/>
    <col min="6402" max="6402" width="14.85546875" style="25" customWidth="1"/>
    <col min="6403" max="6403" width="15.42578125" style="25" customWidth="1"/>
    <col min="6404" max="6404" width="10.85546875" style="25" customWidth="1"/>
    <col min="6405" max="6405" width="14.42578125" style="25" customWidth="1"/>
    <col min="6406" max="6408" width="10.85546875" style="25" customWidth="1"/>
    <col min="6409" max="6409" width="14.7109375" style="25" customWidth="1"/>
    <col min="6410" max="6411" width="10.85546875" style="25" customWidth="1"/>
    <col min="6412" max="6412" width="5.7109375" style="25" customWidth="1"/>
    <col min="6413" max="6428" width="13.42578125" style="25" customWidth="1"/>
    <col min="6429" max="6656" width="11.42578125" style="25"/>
    <col min="6657" max="6657" width="3.42578125" style="25" customWidth="1"/>
    <col min="6658" max="6658" width="14.85546875" style="25" customWidth="1"/>
    <col min="6659" max="6659" width="15.42578125" style="25" customWidth="1"/>
    <col min="6660" max="6660" width="10.85546875" style="25" customWidth="1"/>
    <col min="6661" max="6661" width="14.42578125" style="25" customWidth="1"/>
    <col min="6662" max="6664" width="10.85546875" style="25" customWidth="1"/>
    <col min="6665" max="6665" width="14.7109375" style="25" customWidth="1"/>
    <col min="6666" max="6667" width="10.85546875" style="25" customWidth="1"/>
    <col min="6668" max="6668" width="5.7109375" style="25" customWidth="1"/>
    <col min="6669" max="6684" width="13.42578125" style="25" customWidth="1"/>
    <col min="6685" max="6912" width="11.42578125" style="25"/>
    <col min="6913" max="6913" width="3.42578125" style="25" customWidth="1"/>
    <col min="6914" max="6914" width="14.85546875" style="25" customWidth="1"/>
    <col min="6915" max="6915" width="15.42578125" style="25" customWidth="1"/>
    <col min="6916" max="6916" width="10.85546875" style="25" customWidth="1"/>
    <col min="6917" max="6917" width="14.42578125" style="25" customWidth="1"/>
    <col min="6918" max="6920" width="10.85546875" style="25" customWidth="1"/>
    <col min="6921" max="6921" width="14.7109375" style="25" customWidth="1"/>
    <col min="6922" max="6923" width="10.85546875" style="25" customWidth="1"/>
    <col min="6924" max="6924" width="5.7109375" style="25" customWidth="1"/>
    <col min="6925" max="6940" width="13.42578125" style="25" customWidth="1"/>
    <col min="6941" max="7168" width="11.42578125" style="25"/>
    <col min="7169" max="7169" width="3.42578125" style="25" customWidth="1"/>
    <col min="7170" max="7170" width="14.85546875" style="25" customWidth="1"/>
    <col min="7171" max="7171" width="15.42578125" style="25" customWidth="1"/>
    <col min="7172" max="7172" width="10.85546875" style="25" customWidth="1"/>
    <col min="7173" max="7173" width="14.42578125" style="25" customWidth="1"/>
    <col min="7174" max="7176" width="10.85546875" style="25" customWidth="1"/>
    <col min="7177" max="7177" width="14.7109375" style="25" customWidth="1"/>
    <col min="7178" max="7179" width="10.85546875" style="25" customWidth="1"/>
    <col min="7180" max="7180" width="5.7109375" style="25" customWidth="1"/>
    <col min="7181" max="7196" width="13.42578125" style="25" customWidth="1"/>
    <col min="7197" max="7424" width="11.42578125" style="25"/>
    <col min="7425" max="7425" width="3.42578125" style="25" customWidth="1"/>
    <col min="7426" max="7426" width="14.85546875" style="25" customWidth="1"/>
    <col min="7427" max="7427" width="15.42578125" style="25" customWidth="1"/>
    <col min="7428" max="7428" width="10.85546875" style="25" customWidth="1"/>
    <col min="7429" max="7429" width="14.42578125" style="25" customWidth="1"/>
    <col min="7430" max="7432" width="10.85546875" style="25" customWidth="1"/>
    <col min="7433" max="7433" width="14.7109375" style="25" customWidth="1"/>
    <col min="7434" max="7435" width="10.85546875" style="25" customWidth="1"/>
    <col min="7436" max="7436" width="5.7109375" style="25" customWidth="1"/>
    <col min="7437" max="7452" width="13.42578125" style="25" customWidth="1"/>
    <col min="7453" max="7680" width="11.42578125" style="25"/>
    <col min="7681" max="7681" width="3.42578125" style="25" customWidth="1"/>
    <col min="7682" max="7682" width="14.85546875" style="25" customWidth="1"/>
    <col min="7683" max="7683" width="15.42578125" style="25" customWidth="1"/>
    <col min="7684" max="7684" width="10.85546875" style="25" customWidth="1"/>
    <col min="7685" max="7685" width="14.42578125" style="25" customWidth="1"/>
    <col min="7686" max="7688" width="10.85546875" style="25" customWidth="1"/>
    <col min="7689" max="7689" width="14.7109375" style="25" customWidth="1"/>
    <col min="7690" max="7691" width="10.85546875" style="25" customWidth="1"/>
    <col min="7692" max="7692" width="5.7109375" style="25" customWidth="1"/>
    <col min="7693" max="7708" width="13.42578125" style="25" customWidth="1"/>
    <col min="7709" max="7936" width="11.42578125" style="25"/>
    <col min="7937" max="7937" width="3.42578125" style="25" customWidth="1"/>
    <col min="7938" max="7938" width="14.85546875" style="25" customWidth="1"/>
    <col min="7939" max="7939" width="15.42578125" style="25" customWidth="1"/>
    <col min="7940" max="7940" width="10.85546875" style="25" customWidth="1"/>
    <col min="7941" max="7941" width="14.42578125" style="25" customWidth="1"/>
    <col min="7942" max="7944" width="10.85546875" style="25" customWidth="1"/>
    <col min="7945" max="7945" width="14.7109375" style="25" customWidth="1"/>
    <col min="7946" max="7947" width="10.85546875" style="25" customWidth="1"/>
    <col min="7948" max="7948" width="5.7109375" style="25" customWidth="1"/>
    <col min="7949" max="7964" width="13.42578125" style="25" customWidth="1"/>
    <col min="7965" max="8192" width="11.42578125" style="25"/>
    <col min="8193" max="8193" width="3.42578125" style="25" customWidth="1"/>
    <col min="8194" max="8194" width="14.85546875" style="25" customWidth="1"/>
    <col min="8195" max="8195" width="15.42578125" style="25" customWidth="1"/>
    <col min="8196" max="8196" width="10.85546875" style="25" customWidth="1"/>
    <col min="8197" max="8197" width="14.42578125" style="25" customWidth="1"/>
    <col min="8198" max="8200" width="10.85546875" style="25" customWidth="1"/>
    <col min="8201" max="8201" width="14.7109375" style="25" customWidth="1"/>
    <col min="8202" max="8203" width="10.85546875" style="25" customWidth="1"/>
    <col min="8204" max="8204" width="5.7109375" style="25" customWidth="1"/>
    <col min="8205" max="8220" width="13.42578125" style="25" customWidth="1"/>
    <col min="8221" max="8448" width="11.42578125" style="25"/>
    <col min="8449" max="8449" width="3.42578125" style="25" customWidth="1"/>
    <col min="8450" max="8450" width="14.85546875" style="25" customWidth="1"/>
    <col min="8451" max="8451" width="15.42578125" style="25" customWidth="1"/>
    <col min="8452" max="8452" width="10.85546875" style="25" customWidth="1"/>
    <col min="8453" max="8453" width="14.42578125" style="25" customWidth="1"/>
    <col min="8454" max="8456" width="10.85546875" style="25" customWidth="1"/>
    <col min="8457" max="8457" width="14.7109375" style="25" customWidth="1"/>
    <col min="8458" max="8459" width="10.85546875" style="25" customWidth="1"/>
    <col min="8460" max="8460" width="5.7109375" style="25" customWidth="1"/>
    <col min="8461" max="8476" width="13.42578125" style="25" customWidth="1"/>
    <col min="8477" max="8704" width="11.42578125" style="25"/>
    <col min="8705" max="8705" width="3.42578125" style="25" customWidth="1"/>
    <col min="8706" max="8706" width="14.85546875" style="25" customWidth="1"/>
    <col min="8707" max="8707" width="15.42578125" style="25" customWidth="1"/>
    <col min="8708" max="8708" width="10.85546875" style="25" customWidth="1"/>
    <col min="8709" max="8709" width="14.42578125" style="25" customWidth="1"/>
    <col min="8710" max="8712" width="10.85546875" style="25" customWidth="1"/>
    <col min="8713" max="8713" width="14.7109375" style="25" customWidth="1"/>
    <col min="8714" max="8715" width="10.85546875" style="25" customWidth="1"/>
    <col min="8716" max="8716" width="5.7109375" style="25" customWidth="1"/>
    <col min="8717" max="8732" width="13.42578125" style="25" customWidth="1"/>
    <col min="8733" max="8960" width="11.42578125" style="25"/>
    <col min="8961" max="8961" width="3.42578125" style="25" customWidth="1"/>
    <col min="8962" max="8962" width="14.85546875" style="25" customWidth="1"/>
    <col min="8963" max="8963" width="15.42578125" style="25" customWidth="1"/>
    <col min="8964" max="8964" width="10.85546875" style="25" customWidth="1"/>
    <col min="8965" max="8965" width="14.42578125" style="25" customWidth="1"/>
    <col min="8966" max="8968" width="10.85546875" style="25" customWidth="1"/>
    <col min="8969" max="8969" width="14.7109375" style="25" customWidth="1"/>
    <col min="8970" max="8971" width="10.85546875" style="25" customWidth="1"/>
    <col min="8972" max="8972" width="5.7109375" style="25" customWidth="1"/>
    <col min="8973" max="8988" width="13.42578125" style="25" customWidth="1"/>
    <col min="8989" max="9216" width="11.42578125" style="25"/>
    <col min="9217" max="9217" width="3.42578125" style="25" customWidth="1"/>
    <col min="9218" max="9218" width="14.85546875" style="25" customWidth="1"/>
    <col min="9219" max="9219" width="15.42578125" style="25" customWidth="1"/>
    <col min="9220" max="9220" width="10.85546875" style="25" customWidth="1"/>
    <col min="9221" max="9221" width="14.42578125" style="25" customWidth="1"/>
    <col min="9222" max="9224" width="10.85546875" style="25" customWidth="1"/>
    <col min="9225" max="9225" width="14.7109375" style="25" customWidth="1"/>
    <col min="9226" max="9227" width="10.85546875" style="25" customWidth="1"/>
    <col min="9228" max="9228" width="5.7109375" style="25" customWidth="1"/>
    <col min="9229" max="9244" width="13.42578125" style="25" customWidth="1"/>
    <col min="9245" max="9472" width="11.42578125" style="25"/>
    <col min="9473" max="9473" width="3.42578125" style="25" customWidth="1"/>
    <col min="9474" max="9474" width="14.85546875" style="25" customWidth="1"/>
    <col min="9475" max="9475" width="15.42578125" style="25" customWidth="1"/>
    <col min="9476" max="9476" width="10.85546875" style="25" customWidth="1"/>
    <col min="9477" max="9477" width="14.42578125" style="25" customWidth="1"/>
    <col min="9478" max="9480" width="10.85546875" style="25" customWidth="1"/>
    <col min="9481" max="9481" width="14.7109375" style="25" customWidth="1"/>
    <col min="9482" max="9483" width="10.85546875" style="25" customWidth="1"/>
    <col min="9484" max="9484" width="5.7109375" style="25" customWidth="1"/>
    <col min="9485" max="9500" width="13.42578125" style="25" customWidth="1"/>
    <col min="9501" max="9728" width="11.42578125" style="25"/>
    <col min="9729" max="9729" width="3.42578125" style="25" customWidth="1"/>
    <col min="9730" max="9730" width="14.85546875" style="25" customWidth="1"/>
    <col min="9731" max="9731" width="15.42578125" style="25" customWidth="1"/>
    <col min="9732" max="9732" width="10.85546875" style="25" customWidth="1"/>
    <col min="9733" max="9733" width="14.42578125" style="25" customWidth="1"/>
    <col min="9734" max="9736" width="10.85546875" style="25" customWidth="1"/>
    <col min="9737" max="9737" width="14.7109375" style="25" customWidth="1"/>
    <col min="9738" max="9739" width="10.85546875" style="25" customWidth="1"/>
    <col min="9740" max="9740" width="5.7109375" style="25" customWidth="1"/>
    <col min="9741" max="9756" width="13.42578125" style="25" customWidth="1"/>
    <col min="9757" max="9984" width="11.42578125" style="25"/>
    <col min="9985" max="9985" width="3.42578125" style="25" customWidth="1"/>
    <col min="9986" max="9986" width="14.85546875" style="25" customWidth="1"/>
    <col min="9987" max="9987" width="15.42578125" style="25" customWidth="1"/>
    <col min="9988" max="9988" width="10.85546875" style="25" customWidth="1"/>
    <col min="9989" max="9989" width="14.42578125" style="25" customWidth="1"/>
    <col min="9990" max="9992" width="10.85546875" style="25" customWidth="1"/>
    <col min="9993" max="9993" width="14.7109375" style="25" customWidth="1"/>
    <col min="9994" max="9995" width="10.85546875" style="25" customWidth="1"/>
    <col min="9996" max="9996" width="5.7109375" style="25" customWidth="1"/>
    <col min="9997" max="10012" width="13.42578125" style="25" customWidth="1"/>
    <col min="10013" max="10240" width="11.42578125" style="25"/>
    <col min="10241" max="10241" width="3.42578125" style="25" customWidth="1"/>
    <col min="10242" max="10242" width="14.85546875" style="25" customWidth="1"/>
    <col min="10243" max="10243" width="15.42578125" style="25" customWidth="1"/>
    <col min="10244" max="10244" width="10.85546875" style="25" customWidth="1"/>
    <col min="10245" max="10245" width="14.42578125" style="25" customWidth="1"/>
    <col min="10246" max="10248" width="10.85546875" style="25" customWidth="1"/>
    <col min="10249" max="10249" width="14.7109375" style="25" customWidth="1"/>
    <col min="10250" max="10251" width="10.85546875" style="25" customWidth="1"/>
    <col min="10252" max="10252" width="5.7109375" style="25" customWidth="1"/>
    <col min="10253" max="10268" width="13.42578125" style="25" customWidth="1"/>
    <col min="10269" max="10496" width="11.42578125" style="25"/>
    <col min="10497" max="10497" width="3.42578125" style="25" customWidth="1"/>
    <col min="10498" max="10498" width="14.85546875" style="25" customWidth="1"/>
    <col min="10499" max="10499" width="15.42578125" style="25" customWidth="1"/>
    <col min="10500" max="10500" width="10.85546875" style="25" customWidth="1"/>
    <col min="10501" max="10501" width="14.42578125" style="25" customWidth="1"/>
    <col min="10502" max="10504" width="10.85546875" style="25" customWidth="1"/>
    <col min="10505" max="10505" width="14.7109375" style="25" customWidth="1"/>
    <col min="10506" max="10507" width="10.85546875" style="25" customWidth="1"/>
    <col min="10508" max="10508" width="5.7109375" style="25" customWidth="1"/>
    <col min="10509" max="10524" width="13.42578125" style="25" customWidth="1"/>
    <col min="10525" max="10752" width="11.42578125" style="25"/>
    <col min="10753" max="10753" width="3.42578125" style="25" customWidth="1"/>
    <col min="10754" max="10754" width="14.85546875" style="25" customWidth="1"/>
    <col min="10755" max="10755" width="15.42578125" style="25" customWidth="1"/>
    <col min="10756" max="10756" width="10.85546875" style="25" customWidth="1"/>
    <col min="10757" max="10757" width="14.42578125" style="25" customWidth="1"/>
    <col min="10758" max="10760" width="10.85546875" style="25" customWidth="1"/>
    <col min="10761" max="10761" width="14.7109375" style="25" customWidth="1"/>
    <col min="10762" max="10763" width="10.85546875" style="25" customWidth="1"/>
    <col min="10764" max="10764" width="5.7109375" style="25" customWidth="1"/>
    <col min="10765" max="10780" width="13.42578125" style="25" customWidth="1"/>
    <col min="10781" max="11008" width="11.42578125" style="25"/>
    <col min="11009" max="11009" width="3.42578125" style="25" customWidth="1"/>
    <col min="11010" max="11010" width="14.85546875" style="25" customWidth="1"/>
    <col min="11011" max="11011" width="15.42578125" style="25" customWidth="1"/>
    <col min="11012" max="11012" width="10.85546875" style="25" customWidth="1"/>
    <col min="11013" max="11013" width="14.42578125" style="25" customWidth="1"/>
    <col min="11014" max="11016" width="10.85546875" style="25" customWidth="1"/>
    <col min="11017" max="11017" width="14.7109375" style="25" customWidth="1"/>
    <col min="11018" max="11019" width="10.85546875" style="25" customWidth="1"/>
    <col min="11020" max="11020" width="5.7109375" style="25" customWidth="1"/>
    <col min="11021" max="11036" width="13.42578125" style="25" customWidth="1"/>
    <col min="11037" max="11264" width="11.42578125" style="25"/>
    <col min="11265" max="11265" width="3.42578125" style="25" customWidth="1"/>
    <col min="11266" max="11266" width="14.85546875" style="25" customWidth="1"/>
    <col min="11267" max="11267" width="15.42578125" style="25" customWidth="1"/>
    <col min="11268" max="11268" width="10.85546875" style="25" customWidth="1"/>
    <col min="11269" max="11269" width="14.42578125" style="25" customWidth="1"/>
    <col min="11270" max="11272" width="10.85546875" style="25" customWidth="1"/>
    <col min="11273" max="11273" width="14.7109375" style="25" customWidth="1"/>
    <col min="11274" max="11275" width="10.85546875" style="25" customWidth="1"/>
    <col min="11276" max="11276" width="5.7109375" style="25" customWidth="1"/>
    <col min="11277" max="11292" width="13.42578125" style="25" customWidth="1"/>
    <col min="11293" max="11520" width="11.42578125" style="25"/>
    <col min="11521" max="11521" width="3.42578125" style="25" customWidth="1"/>
    <col min="11522" max="11522" width="14.85546875" style="25" customWidth="1"/>
    <col min="11523" max="11523" width="15.42578125" style="25" customWidth="1"/>
    <col min="11524" max="11524" width="10.85546875" style="25" customWidth="1"/>
    <col min="11525" max="11525" width="14.42578125" style="25" customWidth="1"/>
    <col min="11526" max="11528" width="10.85546875" style="25" customWidth="1"/>
    <col min="11529" max="11529" width="14.7109375" style="25" customWidth="1"/>
    <col min="11530" max="11531" width="10.85546875" style="25" customWidth="1"/>
    <col min="11532" max="11532" width="5.7109375" style="25" customWidth="1"/>
    <col min="11533" max="11548" width="13.42578125" style="25" customWidth="1"/>
    <col min="11549" max="11776" width="11.42578125" style="25"/>
    <col min="11777" max="11777" width="3.42578125" style="25" customWidth="1"/>
    <col min="11778" max="11778" width="14.85546875" style="25" customWidth="1"/>
    <col min="11779" max="11779" width="15.42578125" style="25" customWidth="1"/>
    <col min="11780" max="11780" width="10.85546875" style="25" customWidth="1"/>
    <col min="11781" max="11781" width="14.42578125" style="25" customWidth="1"/>
    <col min="11782" max="11784" width="10.85546875" style="25" customWidth="1"/>
    <col min="11785" max="11785" width="14.7109375" style="25" customWidth="1"/>
    <col min="11786" max="11787" width="10.85546875" style="25" customWidth="1"/>
    <col min="11788" max="11788" width="5.7109375" style="25" customWidth="1"/>
    <col min="11789" max="11804" width="13.42578125" style="25" customWidth="1"/>
    <col min="11805" max="12032" width="11.42578125" style="25"/>
    <col min="12033" max="12033" width="3.42578125" style="25" customWidth="1"/>
    <col min="12034" max="12034" width="14.85546875" style="25" customWidth="1"/>
    <col min="12035" max="12035" width="15.42578125" style="25" customWidth="1"/>
    <col min="12036" max="12036" width="10.85546875" style="25" customWidth="1"/>
    <col min="12037" max="12037" width="14.42578125" style="25" customWidth="1"/>
    <col min="12038" max="12040" width="10.85546875" style="25" customWidth="1"/>
    <col min="12041" max="12041" width="14.7109375" style="25" customWidth="1"/>
    <col min="12042" max="12043" width="10.85546875" style="25" customWidth="1"/>
    <col min="12044" max="12044" width="5.7109375" style="25" customWidth="1"/>
    <col min="12045" max="12060" width="13.42578125" style="25" customWidth="1"/>
    <col min="12061" max="12288" width="11.42578125" style="25"/>
    <col min="12289" max="12289" width="3.42578125" style="25" customWidth="1"/>
    <col min="12290" max="12290" width="14.85546875" style="25" customWidth="1"/>
    <col min="12291" max="12291" width="15.42578125" style="25" customWidth="1"/>
    <col min="12292" max="12292" width="10.85546875" style="25" customWidth="1"/>
    <col min="12293" max="12293" width="14.42578125" style="25" customWidth="1"/>
    <col min="12294" max="12296" width="10.85546875" style="25" customWidth="1"/>
    <col min="12297" max="12297" width="14.7109375" style="25" customWidth="1"/>
    <col min="12298" max="12299" width="10.85546875" style="25" customWidth="1"/>
    <col min="12300" max="12300" width="5.7109375" style="25" customWidth="1"/>
    <col min="12301" max="12316" width="13.42578125" style="25" customWidth="1"/>
    <col min="12317" max="12544" width="11.42578125" style="25"/>
    <col min="12545" max="12545" width="3.42578125" style="25" customWidth="1"/>
    <col min="12546" max="12546" width="14.85546875" style="25" customWidth="1"/>
    <col min="12547" max="12547" width="15.42578125" style="25" customWidth="1"/>
    <col min="12548" max="12548" width="10.85546875" style="25" customWidth="1"/>
    <col min="12549" max="12549" width="14.42578125" style="25" customWidth="1"/>
    <col min="12550" max="12552" width="10.85546875" style="25" customWidth="1"/>
    <col min="12553" max="12553" width="14.7109375" style="25" customWidth="1"/>
    <col min="12554" max="12555" width="10.85546875" style="25" customWidth="1"/>
    <col min="12556" max="12556" width="5.7109375" style="25" customWidth="1"/>
    <col min="12557" max="12572" width="13.42578125" style="25" customWidth="1"/>
    <col min="12573" max="12800" width="11.42578125" style="25"/>
    <col min="12801" max="12801" width="3.42578125" style="25" customWidth="1"/>
    <col min="12802" max="12802" width="14.85546875" style="25" customWidth="1"/>
    <col min="12803" max="12803" width="15.42578125" style="25" customWidth="1"/>
    <col min="12804" max="12804" width="10.85546875" style="25" customWidth="1"/>
    <col min="12805" max="12805" width="14.42578125" style="25" customWidth="1"/>
    <col min="12806" max="12808" width="10.85546875" style="25" customWidth="1"/>
    <col min="12809" max="12809" width="14.7109375" style="25" customWidth="1"/>
    <col min="12810" max="12811" width="10.85546875" style="25" customWidth="1"/>
    <col min="12812" max="12812" width="5.7109375" style="25" customWidth="1"/>
    <col min="12813" max="12828" width="13.42578125" style="25" customWidth="1"/>
    <col min="12829" max="13056" width="11.42578125" style="25"/>
    <col min="13057" max="13057" width="3.42578125" style="25" customWidth="1"/>
    <col min="13058" max="13058" width="14.85546875" style="25" customWidth="1"/>
    <col min="13059" max="13059" width="15.42578125" style="25" customWidth="1"/>
    <col min="13060" max="13060" width="10.85546875" style="25" customWidth="1"/>
    <col min="13061" max="13061" width="14.42578125" style="25" customWidth="1"/>
    <col min="13062" max="13064" width="10.85546875" style="25" customWidth="1"/>
    <col min="13065" max="13065" width="14.7109375" style="25" customWidth="1"/>
    <col min="13066" max="13067" width="10.85546875" style="25" customWidth="1"/>
    <col min="13068" max="13068" width="5.7109375" style="25" customWidth="1"/>
    <col min="13069" max="13084" width="13.42578125" style="25" customWidth="1"/>
    <col min="13085" max="13312" width="11.42578125" style="25"/>
    <col min="13313" max="13313" width="3.42578125" style="25" customWidth="1"/>
    <col min="13314" max="13314" width="14.85546875" style="25" customWidth="1"/>
    <col min="13315" max="13315" width="15.42578125" style="25" customWidth="1"/>
    <col min="13316" max="13316" width="10.85546875" style="25" customWidth="1"/>
    <col min="13317" max="13317" width="14.42578125" style="25" customWidth="1"/>
    <col min="13318" max="13320" width="10.85546875" style="25" customWidth="1"/>
    <col min="13321" max="13321" width="14.7109375" style="25" customWidth="1"/>
    <col min="13322" max="13323" width="10.85546875" style="25" customWidth="1"/>
    <col min="13324" max="13324" width="5.7109375" style="25" customWidth="1"/>
    <col min="13325" max="13340" width="13.42578125" style="25" customWidth="1"/>
    <col min="13341" max="13568" width="11.42578125" style="25"/>
    <col min="13569" max="13569" width="3.42578125" style="25" customWidth="1"/>
    <col min="13570" max="13570" width="14.85546875" style="25" customWidth="1"/>
    <col min="13571" max="13571" width="15.42578125" style="25" customWidth="1"/>
    <col min="13572" max="13572" width="10.85546875" style="25" customWidth="1"/>
    <col min="13573" max="13573" width="14.42578125" style="25" customWidth="1"/>
    <col min="13574" max="13576" width="10.85546875" style="25" customWidth="1"/>
    <col min="13577" max="13577" width="14.7109375" style="25" customWidth="1"/>
    <col min="13578" max="13579" width="10.85546875" style="25" customWidth="1"/>
    <col min="13580" max="13580" width="5.7109375" style="25" customWidth="1"/>
    <col min="13581" max="13596" width="13.42578125" style="25" customWidth="1"/>
    <col min="13597" max="13824" width="11.42578125" style="25"/>
    <col min="13825" max="13825" width="3.42578125" style="25" customWidth="1"/>
    <col min="13826" max="13826" width="14.85546875" style="25" customWidth="1"/>
    <col min="13827" max="13827" width="15.42578125" style="25" customWidth="1"/>
    <col min="13828" max="13828" width="10.85546875" style="25" customWidth="1"/>
    <col min="13829" max="13829" width="14.42578125" style="25" customWidth="1"/>
    <col min="13830" max="13832" width="10.85546875" style="25" customWidth="1"/>
    <col min="13833" max="13833" width="14.7109375" style="25" customWidth="1"/>
    <col min="13834" max="13835" width="10.85546875" style="25" customWidth="1"/>
    <col min="13836" max="13836" width="5.7109375" style="25" customWidth="1"/>
    <col min="13837" max="13852" width="13.42578125" style="25" customWidth="1"/>
    <col min="13853" max="14080" width="11.42578125" style="25"/>
    <col min="14081" max="14081" width="3.42578125" style="25" customWidth="1"/>
    <col min="14082" max="14082" width="14.85546875" style="25" customWidth="1"/>
    <col min="14083" max="14083" width="15.42578125" style="25" customWidth="1"/>
    <col min="14084" max="14084" width="10.85546875" style="25" customWidth="1"/>
    <col min="14085" max="14085" width="14.42578125" style="25" customWidth="1"/>
    <col min="14086" max="14088" width="10.85546875" style="25" customWidth="1"/>
    <col min="14089" max="14089" width="14.7109375" style="25" customWidth="1"/>
    <col min="14090" max="14091" width="10.85546875" style="25" customWidth="1"/>
    <col min="14092" max="14092" width="5.7109375" style="25" customWidth="1"/>
    <col min="14093" max="14108" width="13.42578125" style="25" customWidth="1"/>
    <col min="14109" max="14336" width="11.42578125" style="25"/>
    <col min="14337" max="14337" width="3.42578125" style="25" customWidth="1"/>
    <col min="14338" max="14338" width="14.85546875" style="25" customWidth="1"/>
    <col min="14339" max="14339" width="15.42578125" style="25" customWidth="1"/>
    <col min="14340" max="14340" width="10.85546875" style="25" customWidth="1"/>
    <col min="14341" max="14341" width="14.42578125" style="25" customWidth="1"/>
    <col min="14342" max="14344" width="10.85546875" style="25" customWidth="1"/>
    <col min="14345" max="14345" width="14.7109375" style="25" customWidth="1"/>
    <col min="14346" max="14347" width="10.85546875" style="25" customWidth="1"/>
    <col min="14348" max="14348" width="5.7109375" style="25" customWidth="1"/>
    <col min="14349" max="14364" width="13.42578125" style="25" customWidth="1"/>
    <col min="14365" max="14592" width="11.42578125" style="25"/>
    <col min="14593" max="14593" width="3.42578125" style="25" customWidth="1"/>
    <col min="14594" max="14594" width="14.85546875" style="25" customWidth="1"/>
    <col min="14595" max="14595" width="15.42578125" style="25" customWidth="1"/>
    <col min="14596" max="14596" width="10.85546875" style="25" customWidth="1"/>
    <col min="14597" max="14597" width="14.42578125" style="25" customWidth="1"/>
    <col min="14598" max="14600" width="10.85546875" style="25" customWidth="1"/>
    <col min="14601" max="14601" width="14.7109375" style="25" customWidth="1"/>
    <col min="14602" max="14603" width="10.85546875" style="25" customWidth="1"/>
    <col min="14604" max="14604" width="5.7109375" style="25" customWidth="1"/>
    <col min="14605" max="14620" width="13.42578125" style="25" customWidth="1"/>
    <col min="14621" max="14848" width="11.42578125" style="25"/>
    <col min="14849" max="14849" width="3.42578125" style="25" customWidth="1"/>
    <col min="14850" max="14850" width="14.85546875" style="25" customWidth="1"/>
    <col min="14851" max="14851" width="15.42578125" style="25" customWidth="1"/>
    <col min="14852" max="14852" width="10.85546875" style="25" customWidth="1"/>
    <col min="14853" max="14853" width="14.42578125" style="25" customWidth="1"/>
    <col min="14854" max="14856" width="10.85546875" style="25" customWidth="1"/>
    <col min="14857" max="14857" width="14.7109375" style="25" customWidth="1"/>
    <col min="14858" max="14859" width="10.85546875" style="25" customWidth="1"/>
    <col min="14860" max="14860" width="5.7109375" style="25" customWidth="1"/>
    <col min="14861" max="14876" width="13.42578125" style="25" customWidth="1"/>
    <col min="14877" max="15104" width="11.42578125" style="25"/>
    <col min="15105" max="15105" width="3.42578125" style="25" customWidth="1"/>
    <col min="15106" max="15106" width="14.85546875" style="25" customWidth="1"/>
    <col min="15107" max="15107" width="15.42578125" style="25" customWidth="1"/>
    <col min="15108" max="15108" width="10.85546875" style="25" customWidth="1"/>
    <col min="15109" max="15109" width="14.42578125" style="25" customWidth="1"/>
    <col min="15110" max="15112" width="10.85546875" style="25" customWidth="1"/>
    <col min="15113" max="15113" width="14.7109375" style="25" customWidth="1"/>
    <col min="15114" max="15115" width="10.85546875" style="25" customWidth="1"/>
    <col min="15116" max="15116" width="5.7109375" style="25" customWidth="1"/>
    <col min="15117" max="15132" width="13.42578125" style="25" customWidth="1"/>
    <col min="15133" max="15360" width="11.42578125" style="25"/>
    <col min="15361" max="15361" width="3.42578125" style="25" customWidth="1"/>
    <col min="15362" max="15362" width="14.85546875" style="25" customWidth="1"/>
    <col min="15363" max="15363" width="15.42578125" style="25" customWidth="1"/>
    <col min="15364" max="15364" width="10.85546875" style="25" customWidth="1"/>
    <col min="15365" max="15365" width="14.42578125" style="25" customWidth="1"/>
    <col min="15366" max="15368" width="10.85546875" style="25" customWidth="1"/>
    <col min="15369" max="15369" width="14.7109375" style="25" customWidth="1"/>
    <col min="15370" max="15371" width="10.85546875" style="25" customWidth="1"/>
    <col min="15372" max="15372" width="5.7109375" style="25" customWidth="1"/>
    <col min="15373" max="15388" width="13.42578125" style="25" customWidth="1"/>
    <col min="15389" max="15616" width="11.42578125" style="25"/>
    <col min="15617" max="15617" width="3.42578125" style="25" customWidth="1"/>
    <col min="15618" max="15618" width="14.85546875" style="25" customWidth="1"/>
    <col min="15619" max="15619" width="15.42578125" style="25" customWidth="1"/>
    <col min="15620" max="15620" width="10.85546875" style="25" customWidth="1"/>
    <col min="15621" max="15621" width="14.42578125" style="25" customWidth="1"/>
    <col min="15622" max="15624" width="10.85546875" style="25" customWidth="1"/>
    <col min="15625" max="15625" width="14.7109375" style="25" customWidth="1"/>
    <col min="15626" max="15627" width="10.85546875" style="25" customWidth="1"/>
    <col min="15628" max="15628" width="5.7109375" style="25" customWidth="1"/>
    <col min="15629" max="15644" width="13.42578125" style="25" customWidth="1"/>
    <col min="15645" max="15872" width="11.42578125" style="25"/>
    <col min="15873" max="15873" width="3.42578125" style="25" customWidth="1"/>
    <col min="15874" max="15874" width="14.85546875" style="25" customWidth="1"/>
    <col min="15875" max="15875" width="15.42578125" style="25" customWidth="1"/>
    <col min="15876" max="15876" width="10.85546875" style="25" customWidth="1"/>
    <col min="15877" max="15877" width="14.42578125" style="25" customWidth="1"/>
    <col min="15878" max="15880" width="10.85546875" style="25" customWidth="1"/>
    <col min="15881" max="15881" width="14.7109375" style="25" customWidth="1"/>
    <col min="15882" max="15883" width="10.85546875" style="25" customWidth="1"/>
    <col min="15884" max="15884" width="5.7109375" style="25" customWidth="1"/>
    <col min="15885" max="15900" width="13.42578125" style="25" customWidth="1"/>
    <col min="15901" max="16128" width="11.42578125" style="25"/>
    <col min="16129" max="16129" width="3.42578125" style="25" customWidth="1"/>
    <col min="16130" max="16130" width="14.85546875" style="25" customWidth="1"/>
    <col min="16131" max="16131" width="15.42578125" style="25" customWidth="1"/>
    <col min="16132" max="16132" width="10.85546875" style="25" customWidth="1"/>
    <col min="16133" max="16133" width="14.42578125" style="25" customWidth="1"/>
    <col min="16134" max="16136" width="10.85546875" style="25" customWidth="1"/>
    <col min="16137" max="16137" width="14.7109375" style="25" customWidth="1"/>
    <col min="16138" max="16139" width="10.85546875" style="25" customWidth="1"/>
    <col min="16140" max="16140" width="5.7109375" style="25" customWidth="1"/>
    <col min="16141" max="16156" width="13.42578125" style="25" customWidth="1"/>
    <col min="16157" max="16384" width="11.42578125" style="25"/>
  </cols>
  <sheetData>
    <row r="1" spans="1:12" ht="12.75" customHeight="1">
      <c r="B1" s="26"/>
    </row>
    <row r="2" spans="1:12" ht="50.1" customHeight="1">
      <c r="A2" s="285" t="s">
        <v>225</v>
      </c>
      <c r="B2" s="285"/>
      <c r="C2" s="285"/>
      <c r="D2" s="285"/>
      <c r="E2" s="285"/>
      <c r="F2" s="285"/>
      <c r="G2" s="285"/>
      <c r="H2" s="285"/>
      <c r="I2" s="285"/>
      <c r="J2" s="285"/>
      <c r="K2" s="285"/>
      <c r="L2" s="285"/>
    </row>
    <row r="3" spans="1:12" ht="12.75" customHeight="1">
      <c r="A3" s="27" t="s">
        <v>1</v>
      </c>
      <c r="B3" s="27" t="s">
        <v>25</v>
      </c>
      <c r="C3" s="28"/>
      <c r="D3" s="28"/>
      <c r="E3" s="28"/>
      <c r="F3" s="28"/>
      <c r="G3" s="28"/>
      <c r="H3" s="28"/>
      <c r="I3" s="28"/>
      <c r="J3" s="28"/>
      <c r="K3" s="28"/>
      <c r="L3" s="28"/>
    </row>
    <row r="4" spans="1:12" ht="6" customHeight="1">
      <c r="A4" s="29"/>
      <c r="B4" s="29"/>
      <c r="C4" s="29"/>
      <c r="D4" s="29"/>
      <c r="E4" s="29"/>
      <c r="F4" s="29"/>
      <c r="G4" s="29"/>
      <c r="H4" s="29"/>
      <c r="I4" s="29"/>
      <c r="J4" s="29"/>
      <c r="K4" s="29"/>
      <c r="L4" s="29"/>
    </row>
    <row r="5" spans="1:12" ht="20.100000000000001" customHeight="1">
      <c r="A5" s="1"/>
      <c r="B5" s="1" t="s">
        <v>28</v>
      </c>
      <c r="C5" s="286" t="s">
        <v>119</v>
      </c>
      <c r="D5" s="287"/>
      <c r="E5" s="287"/>
      <c r="F5" s="287"/>
      <c r="G5" s="24" t="s">
        <v>97</v>
      </c>
      <c r="H5" s="114"/>
      <c r="I5" s="24" t="s">
        <v>26</v>
      </c>
      <c r="J5" s="287"/>
      <c r="K5" s="287"/>
      <c r="L5" s="287"/>
    </row>
    <row r="6" spans="1:12" ht="20.100000000000001" customHeight="1">
      <c r="A6" s="1"/>
      <c r="B6" s="1" t="s">
        <v>27</v>
      </c>
      <c r="C6" s="288"/>
      <c r="D6" s="288"/>
      <c r="E6" s="288"/>
      <c r="F6" s="288"/>
      <c r="G6" s="24" t="s">
        <v>229</v>
      </c>
      <c r="H6" s="116"/>
      <c r="I6" s="1"/>
      <c r="J6" s="1"/>
      <c r="K6" s="1"/>
      <c r="L6" s="1"/>
    </row>
    <row r="7" spans="1:12" ht="20.100000000000001" customHeight="1">
      <c r="A7" s="1"/>
      <c r="B7" s="1" t="s">
        <v>29</v>
      </c>
      <c r="C7" s="287"/>
      <c r="D7" s="287"/>
      <c r="E7" s="287"/>
      <c r="F7" s="287"/>
      <c r="G7" s="24" t="s">
        <v>100</v>
      </c>
      <c r="H7" s="286"/>
      <c r="I7" s="286"/>
      <c r="J7" s="286"/>
      <c r="K7" s="286"/>
      <c r="L7" s="286"/>
    </row>
    <row r="8" spans="1:12" ht="12.95" customHeight="1">
      <c r="A8" s="29"/>
      <c r="B8" s="29"/>
      <c r="C8" s="29"/>
      <c r="D8" s="29"/>
      <c r="E8" s="29"/>
      <c r="F8" s="29"/>
      <c r="G8" s="29"/>
      <c r="H8" s="29"/>
      <c r="I8" s="29"/>
      <c r="J8" s="29"/>
      <c r="K8" s="29"/>
      <c r="L8" s="29"/>
    </row>
    <row r="9" spans="1:12" ht="12.75" customHeight="1">
      <c r="A9" s="27" t="s">
        <v>2</v>
      </c>
      <c r="B9" s="27" t="s">
        <v>3</v>
      </c>
      <c r="C9" s="28"/>
      <c r="D9" s="28"/>
      <c r="E9" s="28"/>
      <c r="F9" s="28"/>
      <c r="G9" s="28"/>
      <c r="H9" s="28"/>
      <c r="I9" s="28"/>
      <c r="J9" s="28"/>
      <c r="K9" s="28"/>
      <c r="L9" s="28"/>
    </row>
    <row r="10" spans="1:12" ht="6" customHeight="1"/>
    <row r="11" spans="1:12" ht="15.75" customHeight="1"/>
    <row r="12" spans="1:12" ht="15.75" customHeight="1">
      <c r="B12" s="26"/>
      <c r="C12" s="26"/>
      <c r="D12" s="26"/>
      <c r="E12" s="26"/>
      <c r="F12" s="26"/>
    </row>
    <row r="13" spans="1:12" ht="15.75" customHeight="1">
      <c r="B13" s="31" t="s">
        <v>126</v>
      </c>
      <c r="D13" s="31"/>
      <c r="E13" s="32">
        <v>10</v>
      </c>
      <c r="F13" s="31" t="s">
        <v>240</v>
      </c>
      <c r="G13" s="26"/>
      <c r="H13" s="26"/>
      <c r="I13" s="26"/>
      <c r="J13" s="26"/>
    </row>
    <row r="14" spans="1:12" ht="15.75" customHeight="1">
      <c r="B14" s="31"/>
      <c r="D14" s="31"/>
      <c r="E14" s="31"/>
      <c r="F14" s="31"/>
      <c r="G14" s="26"/>
      <c r="H14" s="26"/>
      <c r="I14" s="26"/>
      <c r="J14" s="26"/>
    </row>
    <row r="15" spans="1:12" ht="15.75" customHeight="1">
      <c r="B15" s="31" t="s">
        <v>127</v>
      </c>
      <c r="D15" s="31"/>
      <c r="E15" s="32">
        <v>4</v>
      </c>
      <c r="F15" s="31" t="s">
        <v>128</v>
      </c>
      <c r="G15" s="26"/>
      <c r="H15" s="26"/>
      <c r="I15" s="26"/>
      <c r="J15" s="33"/>
    </row>
    <row r="16" spans="1:12" ht="15.75" customHeight="1">
      <c r="B16" s="31"/>
      <c r="D16" s="31"/>
      <c r="E16" s="31"/>
      <c r="F16" s="31"/>
      <c r="G16" s="26"/>
      <c r="H16" s="26"/>
      <c r="I16" s="26"/>
      <c r="J16" s="33"/>
    </row>
    <row r="17" spans="2:10" ht="15.75" customHeight="1">
      <c r="B17" s="31" t="s">
        <v>129</v>
      </c>
      <c r="D17" s="31"/>
      <c r="E17" s="32">
        <v>200</v>
      </c>
      <c r="F17" s="31" t="s">
        <v>144</v>
      </c>
      <c r="G17" s="26"/>
      <c r="H17" s="26"/>
      <c r="I17" s="26"/>
      <c r="J17" s="33"/>
    </row>
    <row r="18" spans="2:10" ht="15.75" customHeight="1">
      <c r="B18" s="31"/>
      <c r="D18" s="31"/>
      <c r="E18" s="31"/>
      <c r="F18" s="31"/>
      <c r="G18" s="26"/>
      <c r="H18" s="26"/>
      <c r="I18" s="26"/>
      <c r="J18" s="33"/>
    </row>
    <row r="19" spans="2:10" ht="15.75" customHeight="1">
      <c r="B19" s="31" t="s">
        <v>131</v>
      </c>
      <c r="D19" s="31"/>
      <c r="E19" s="32">
        <v>25</v>
      </c>
      <c r="F19" s="31" t="s">
        <v>144</v>
      </c>
      <c r="G19" s="26"/>
      <c r="H19" s="26"/>
      <c r="I19" s="26"/>
      <c r="J19" s="33"/>
    </row>
    <row r="20" spans="2:10" ht="15.75" customHeight="1">
      <c r="B20" s="31" t="s">
        <v>132</v>
      </c>
      <c r="D20" s="31"/>
      <c r="E20" s="32">
        <v>25</v>
      </c>
      <c r="F20" s="31" t="s">
        <v>144</v>
      </c>
      <c r="G20" s="26"/>
      <c r="H20" s="26"/>
      <c r="I20" s="26"/>
      <c r="J20" s="33"/>
    </row>
    <row r="21" spans="2:10" ht="15.75" customHeight="1">
      <c r="B21" s="31"/>
      <c r="D21" s="31"/>
      <c r="E21" s="31"/>
      <c r="F21" s="31"/>
      <c r="G21" s="26"/>
      <c r="H21" s="26"/>
      <c r="I21" s="26"/>
      <c r="J21" s="33"/>
    </row>
    <row r="22" spans="2:10" ht="15.75" customHeight="1">
      <c r="B22" s="31" t="s">
        <v>133</v>
      </c>
      <c r="D22" s="31"/>
      <c r="E22" s="31"/>
      <c r="F22" s="31"/>
      <c r="G22" s="26"/>
      <c r="H22" s="26"/>
      <c r="I22" s="26"/>
      <c r="J22" s="33"/>
    </row>
    <row r="23" spans="2:10" ht="15.75" customHeight="1">
      <c r="B23" s="31" t="s">
        <v>134</v>
      </c>
      <c r="D23" s="31"/>
      <c r="E23" s="32">
        <v>8</v>
      </c>
      <c r="F23" s="31" t="s">
        <v>230</v>
      </c>
      <c r="G23" s="26"/>
      <c r="H23" s="26"/>
      <c r="I23" s="26"/>
      <c r="J23" s="33"/>
    </row>
    <row r="24" spans="2:10" ht="15.75" customHeight="1">
      <c r="B24" s="31" t="s">
        <v>135</v>
      </c>
      <c r="D24" s="31"/>
      <c r="E24" s="32">
        <v>8</v>
      </c>
      <c r="F24" s="31" t="s">
        <v>230</v>
      </c>
      <c r="G24" s="26"/>
      <c r="H24" s="26"/>
      <c r="I24" s="26"/>
      <c r="J24" s="26"/>
    </row>
    <row r="25" spans="2:10" ht="15.75" customHeight="1">
      <c r="B25" s="31" t="s">
        <v>136</v>
      </c>
      <c r="D25" s="31"/>
      <c r="E25" s="31"/>
      <c r="F25" s="31"/>
    </row>
    <row r="26" spans="2:10" ht="15.75" customHeight="1">
      <c r="B26" s="31" t="s">
        <v>134</v>
      </c>
      <c r="D26" s="31"/>
      <c r="E26" s="32">
        <v>8</v>
      </c>
      <c r="F26" s="31" t="s">
        <v>230</v>
      </c>
    </row>
    <row r="27" spans="2:10" ht="15.75" customHeight="1">
      <c r="B27" s="31" t="s">
        <v>135</v>
      </c>
      <c r="D27" s="31"/>
      <c r="E27" s="32">
        <v>8</v>
      </c>
      <c r="F27" s="31" t="s">
        <v>230</v>
      </c>
    </row>
    <row r="28" spans="2:10" ht="15.75" customHeight="1">
      <c r="B28" s="26"/>
      <c r="D28" s="26"/>
      <c r="E28" s="26"/>
      <c r="F28" s="26"/>
    </row>
    <row r="29" spans="2:10" ht="15.75" customHeight="1">
      <c r="B29" s="26"/>
      <c r="D29" s="26"/>
      <c r="E29" s="26"/>
      <c r="F29" s="26"/>
    </row>
    <row r="30" spans="2:10" ht="15.75" customHeight="1">
      <c r="B30" s="26" t="s">
        <v>137</v>
      </c>
      <c r="D30" s="26"/>
      <c r="E30" s="37">
        <f>E17-E19-E20-E23-E24-E26-E27</f>
        <v>118</v>
      </c>
      <c r="F30" s="38" t="s">
        <v>144</v>
      </c>
    </row>
    <row r="31" spans="2:10" ht="15.75" customHeight="1">
      <c r="B31" s="26"/>
      <c r="D31" s="26"/>
      <c r="E31" s="26"/>
      <c r="F31" s="26"/>
    </row>
    <row r="32" spans="2:10" ht="15.75">
      <c r="B32" s="26" t="s">
        <v>138</v>
      </c>
      <c r="D32" s="26"/>
      <c r="E32" s="37">
        <f>E13*E15</f>
        <v>40</v>
      </c>
      <c r="F32" s="38" t="s">
        <v>128</v>
      </c>
    </row>
    <row r="33" spans="2:10" ht="15">
      <c r="B33" s="26"/>
      <c r="D33" s="26"/>
      <c r="E33" s="26"/>
      <c r="F33" s="26"/>
    </row>
    <row r="34" spans="2:10" ht="15.75">
      <c r="B34" s="26" t="s">
        <v>139</v>
      </c>
      <c r="D34" s="26"/>
      <c r="E34" s="37">
        <f>ROUNDDOWN(2000/E30,0)</f>
        <v>16</v>
      </c>
      <c r="F34" s="38" t="s">
        <v>128</v>
      </c>
    </row>
    <row r="35" spans="2:10" ht="15">
      <c r="B35" s="26"/>
      <c r="D35" s="26"/>
      <c r="E35" s="26"/>
      <c r="F35" s="26"/>
    </row>
    <row r="36" spans="2:10" ht="15.75">
      <c r="B36" s="26" t="s">
        <v>140</v>
      </c>
      <c r="D36" s="26"/>
      <c r="E36" s="37">
        <f>E32/E34</f>
        <v>2.5</v>
      </c>
      <c r="F36" s="38" t="s">
        <v>128</v>
      </c>
    </row>
    <row r="37" spans="2:10" ht="15">
      <c r="E37" s="26"/>
      <c r="J37" s="26"/>
    </row>
    <row r="38" spans="2:10" ht="15">
      <c r="E38" s="26"/>
      <c r="F38" s="26"/>
      <c r="G38" s="26"/>
      <c r="H38" s="26"/>
      <c r="I38" s="26"/>
      <c r="J38" s="26"/>
    </row>
  </sheetData>
  <sheetProtection algorithmName="SHA-512" hashValue="fPA+jluR8ZZofdTdW82ah+EZCEm3NWhcM0D84VescMK9CFBIPaEi3F+Aq6GWJXwJo0Bhu6lTyHfpp8Xch5U0rA==" saltValue="Bk9JWXdc/CP0U6e3whQVWg==" spinCount="100000" sheet="1" objects="1" scenarios="1" selectLockedCells="1"/>
  <mergeCells count="6">
    <mergeCell ref="C7:F7"/>
    <mergeCell ref="A2:L2"/>
    <mergeCell ref="C5:F5"/>
    <mergeCell ref="C6:F6"/>
    <mergeCell ref="J5:L5"/>
    <mergeCell ref="H7:L7"/>
  </mergeCells>
  <pageMargins left="0.78740157480314965" right="0.78740157480314965" top="0.94488188976377963" bottom="0.78740157480314965" header="0.51181102362204722" footer="0.51181102362204722"/>
  <pageSetup paperSize="9" scale="65" orientation="portrait" r:id="rId1"/>
  <headerFooter>
    <oddFooter>&amp;L&amp;8&amp;F&amp;C
&amp;R&amp;8Bemessungshilfe Schöck Combar® V 2.2</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9</vt:i4>
      </vt:variant>
    </vt:vector>
  </HeadingPairs>
  <TitlesOfParts>
    <vt:vector size="18" baseType="lpstr">
      <vt:lpstr>Hinweis</vt:lpstr>
      <vt:lpstr>Mindestbewehrung</vt:lpstr>
      <vt:lpstr>Rissbreitenbewehrung</vt:lpstr>
      <vt:lpstr>Biegetragfähigkeit</vt:lpstr>
      <vt:lpstr>Querkrafttragfähigkeit</vt:lpstr>
      <vt:lpstr>Verankerungslänge Gerade Stäbe</vt:lpstr>
      <vt:lpstr>Verankerungslänge GebogeneStäbe</vt:lpstr>
      <vt:lpstr>Anzahl Klipps</vt:lpstr>
      <vt:lpstr>Anzahl Abstandshalter</vt:lpstr>
      <vt:lpstr>'Anzahl Abstandshalter'!Druckbereich</vt:lpstr>
      <vt:lpstr>'Anzahl Klipps'!Druckbereich</vt:lpstr>
      <vt:lpstr>Biegetragfähigkeit!Druckbereich</vt:lpstr>
      <vt:lpstr>Hinweis!Druckbereich</vt:lpstr>
      <vt:lpstr>Mindestbewehrung!Druckbereich</vt:lpstr>
      <vt:lpstr>Querkrafttragfähigkeit!Druckbereich</vt:lpstr>
      <vt:lpstr>Rissbreitenbewehrung!Druckbereich</vt:lpstr>
      <vt:lpstr>'Verankerungslänge GebogeneStäbe'!Druckbereich</vt:lpstr>
      <vt:lpstr>'Verankerungslänge Gerade Stäbe'!Druckbereich</vt:lpstr>
    </vt:vector>
  </TitlesOfParts>
  <Company>Schoeck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Windows-Benutzer</dc:creator>
  <cp:lastModifiedBy>Jonas Krämer</cp:lastModifiedBy>
  <cp:lastPrinted>2023-02-02T09:57:32Z</cp:lastPrinted>
  <dcterms:created xsi:type="dcterms:W3CDTF">2012-08-09T13:55:00Z</dcterms:created>
  <dcterms:modified xsi:type="dcterms:W3CDTF">2023-12-05T11:04:38Z</dcterms:modified>
</cp:coreProperties>
</file>